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o0RqMKE2UUZgywRZiOmg28KLQ+9l9MhhnQUczRGmEZEtBuav5cPh/7LKcYr5RtbE8PLrvlB7T330POR28mwkQ==" workbookSaltValue="6J1oOtfhNNPzj7tBENaK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E23" i="12" l="1"/>
  <c r="BF17" i="8"/>
  <c r="T31" i="8"/>
  <c r="BW13" i="20"/>
  <c r="BJ10" i="11"/>
  <c r="X12" i="17"/>
  <c r="L20" i="2"/>
  <c r="T9" i="11"/>
  <c r="P18" i="17"/>
  <c r="BK19" i="11"/>
  <c r="BJ21" i="11"/>
  <c r="BI16" i="11"/>
  <c r="BG9" i="11"/>
  <c r="R18" i="20"/>
  <c r="R23" i="20" s="1"/>
  <c r="BK18" i="11"/>
  <c r="AP18" i="20"/>
  <c r="BU25" i="17"/>
  <c r="BV13" i="16"/>
  <c r="BV21" i="16"/>
  <c r="BV11" i="16"/>
  <c r="S21" i="17"/>
  <c r="BU13" i="17"/>
  <c r="BV20" i="16"/>
  <c r="AZ11" i="11"/>
  <c r="BF12" i="11"/>
  <c r="BK20" i="11"/>
  <c r="Q16" i="17"/>
  <c r="BL22" i="11"/>
  <c r="BK10" i="11"/>
  <c r="L22" i="2"/>
  <c r="S16" i="17"/>
  <c r="S17" i="17"/>
  <c r="X19" i="16"/>
  <c r="U9" i="17"/>
  <c r="U31" i="17" s="1"/>
  <c r="BH16" i="11"/>
  <c r="BF29" i="11"/>
  <c r="BF22" i="11"/>
  <c r="BM13" i="11"/>
  <c r="BL11" i="11"/>
  <c r="BL21" i="11"/>
  <c r="T18" i="16"/>
  <c r="BG21" i="11"/>
  <c r="BV28" i="16"/>
  <c r="BU29" i="17"/>
  <c r="BW11" i="20"/>
  <c r="BW28" i="20"/>
  <c r="S11" i="17"/>
  <c r="S25" i="17"/>
  <c r="P16" i="17"/>
  <c r="BH25" i="16"/>
  <c r="BF16" i="11"/>
  <c r="BI22" i="11"/>
  <c r="BL17" i="11"/>
  <c r="BH22" i="11"/>
  <c r="X22" i="16"/>
  <c r="L12" i="2"/>
  <c r="X10" i="21"/>
  <c r="V10" i="16"/>
  <c r="V9" i="16"/>
  <c r="X13" i="16"/>
  <c r="R13" i="17"/>
  <c r="P13" i="14"/>
  <c r="BG17" i="13"/>
  <c r="BE17" i="13"/>
  <c r="BH11" i="16"/>
  <c r="BK13" i="11"/>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V25" i="16"/>
  <c r="L9" i="2"/>
  <c r="AA11" i="16"/>
  <c r="X16" i="16"/>
  <c r="X23" i="16" s="1"/>
  <c r="L18" i="2"/>
  <c r="L17" i="2"/>
  <c r="L16" i="2"/>
  <c r="X21" i="20"/>
  <c r="L28" i="2"/>
  <c r="L10"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S20" i="14"/>
  <c r="V20"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9" i="12" l="1"/>
  <c r="S23" i="16"/>
  <c r="S31" i="16" s="1"/>
  <c r="BF23" i="13"/>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<sst xmlns="http://schemas.openxmlformats.org/spreadsheetml/2006/main" count="2682" uniqueCount="1193">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</sst>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w+UwYf9Wu28rrPDrcMiSUbaD7CA4TH9II27f/0217IaBaT6ihUFU6hBU9AIQYTZrXEMyXRouee0xV+GMXf4qQ==" saltValue="/OnMbue05NtG+GKm6pq0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5</v>
      </c>
      <c r="F10" s="240">
        <f>IF(ISNUMBER(Datos!K10),Datos!K10," - ")</f>
        <v>8</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24.512534818941504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5</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748</v>
      </c>
      <c r="D17" s="239">
        <f>IF(ISNUMBER(IF(D_I="SI",Datos!I17,Datos!I17+Datos!AC17)),IF(D_I="SI",Datos!I17,Datos!I17+Datos!AC17)," - ")</f>
        <v>631</v>
      </c>
      <c r="E17" s="240">
        <f>IF(ISNUMBER(IF(D_I="SI",Datos!J17,Datos!J17+Datos!AD17)),IF(D_I="SI",Datos!J17,Datos!J17+Datos!AD17)," - ")</f>
        <v>600</v>
      </c>
      <c r="F17" s="240">
        <f>IF(ISNUMBER(IF(D_I="SI",Datos!K17,Datos!K17+Datos!AE17)),IF(D_I="SI",Datos!K17,Datos!K17+Datos!AE17)," - ")</f>
        <v>678</v>
      </c>
      <c r="G17" s="1390" t="str">
        <f>IF(Datos!E17&lt;&gt;"",Datos!E17,Datos!D17)</f>
        <v>04</v>
      </c>
      <c r="H17" s="241">
        <f>IF(ISNUMBER(IF(D_I="SI",Datos!L17,Datos!L17+Datos!AF17)),IF(D_I="SI",Datos!L17,Datos!L17+Datos!AF17)," - ")</f>
        <v>670</v>
      </c>
      <c r="I17" s="1400" t="str">
        <f>IF(ISNUMBER(Datos!AS17/Datos!BM17),Datos!AS17/Datos!BM17," - ")</f>
        <v xml:space="preserve"> - </v>
      </c>
      <c r="J17" s="1401">
        <f>IF(ISNUMBER(Datos!BY17/Datos!CN17),Datos!BY17/Datos!CN17," - ")</f>
        <v>0</v>
      </c>
      <c r="K17" s="244">
        <f t="shared" si="3"/>
        <v>-0.10427807486631016</v>
      </c>
      <c r="L17" s="1402">
        <f>IF(ISNUMBER(NºAsuntos!I17/NºAsuntos!G17),(NºAsuntos!I17/NºAsuntos!G17)*11," - ")</f>
        <v>10.870206489675516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27</v>
      </c>
      <c r="F18" s="240">
        <f>IF(ISNUMBER(IF(D_I="SI",Datos!K18,Datos!K18+Datos!AE18)),IF(D_I="SI",Datos!K18,Datos!K18+Datos!AE18)," - ")</f>
        <v>29</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11.758620689655171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781</v>
      </c>
      <c r="D23" s="1407">
        <f>SUBTOTAL(9,D16:D22)</f>
        <v>664</v>
      </c>
      <c r="E23" s="1408">
        <f>SUBTOTAL(9,E16:E22)</f>
        <v>627</v>
      </c>
      <c r="F23" s="1408">
        <f>SUBTOTAL(9,F16:F22)</f>
        <v>707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790</v>
      </c>
      <c r="D31" s="1435">
        <f>SUBTOTAL(9,D9:D30)</f>
        <v>673</v>
      </c>
      <c r="E31" s="1436">
        <f>SUBTOTAL(9,E9:E30)</f>
        <v>632</v>
      </c>
      <c r="F31" s="1436">
        <f>SUBTOTAL(9,F9:F30)</f>
        <v>715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mHTZM6GfEwtSjrqHsCLWpJgOs7ZmEO9AK0AxAI5IO4nOXc+8pcdt/nUq5Yls6qMe/45M7ZbVMFHybi2JM12wQ==" saltValue="O1J230RWXLup4ZRMX3dn8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zfgH85v97chcojMUFrxn9zTIF2ZKrzHmy0sS/+MxnvPQ94Sq2w+TB25Xchq7VefHX3HhyAzybcpLAe2bke8RQ==" saltValue="W53CaRroK28sNazHC/Ii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5</v>
      </c>
      <c r="K10" s="194">
        <v>8</v>
      </c>
      <c r="L10" s="194">
        <v>6</v>
      </c>
      <c r="M10" s="194">
        <v>3</v>
      </c>
      <c r="N10" s="194">
        <v>1</v>
      </c>
      <c r="O10" s="194">
        <v>0</v>
      </c>
      <c r="P10" s="194">
        <v>0</v>
      </c>
      <c r="Q10" s="194">
        <v>0</v>
      </c>
      <c r="R10" s="194">
        <v>1</v>
      </c>
      <c r="S10" s="194">
        <v>10</v>
      </c>
      <c r="T10" s="194">
        <v>2</v>
      </c>
      <c r="U10" s="194">
        <v>1</v>
      </c>
      <c r="V10" s="194">
        <v>11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v>
      </c>
      <c r="BA10" s="139">
        <f t="shared" si="0"/>
        <v>1</v>
      </c>
      <c r="BB10" s="139">
        <f t="shared" si="0"/>
        <v>11</v>
      </c>
      <c r="BC10" s="135">
        <f t="shared" si="0"/>
        <v>0</v>
      </c>
      <c r="BD10" s="136">
        <f>IF(ISNUMBER(BA10/AZ10),BA10/AZ10," - ")</f>
        <v>0.5</v>
      </c>
      <c r="BE10" s="137">
        <f>IF(ISNUMBER(BB10/BA10),BB10/BA10, " - ")</f>
        <v>11</v>
      </c>
      <c r="BF10" s="137">
        <f>IF(ISNUMBER(BC10/BA10),BC10/BA10, " - ")</f>
        <v>0</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770</v>
      </c>
      <c r="J12" s="196">
        <v>335</v>
      </c>
      <c r="K12" s="196">
        <v>339</v>
      </c>
      <c r="L12" s="196">
        <v>766</v>
      </c>
      <c r="M12" s="196">
        <v>99</v>
      </c>
      <c r="N12" s="196">
        <v>129</v>
      </c>
      <c r="O12" s="194">
        <v>157</v>
      </c>
      <c r="P12" s="196">
        <v>109</v>
      </c>
      <c r="Q12" s="196">
        <v>50</v>
      </c>
      <c r="R12" s="196">
        <v>1759</v>
      </c>
      <c r="S12" s="196">
        <v>1060</v>
      </c>
      <c r="T12" s="196">
        <v>338</v>
      </c>
      <c r="U12" s="196">
        <v>406</v>
      </c>
      <c r="V12" s="196">
        <v>986</v>
      </c>
      <c r="W12" s="196">
        <v>98</v>
      </c>
      <c r="X12" s="202">
        <v>174</v>
      </c>
      <c r="Y12" s="204">
        <v>23</v>
      </c>
      <c r="Z12" s="194">
        <v>31</v>
      </c>
      <c r="AA12" s="194">
        <v>20</v>
      </c>
      <c r="AB12" s="194">
        <v>34</v>
      </c>
      <c r="AC12" s="196">
        <v>0</v>
      </c>
      <c r="AD12" s="196">
        <v>0</v>
      </c>
      <c r="AE12" s="196">
        <v>0</v>
      </c>
      <c r="AF12" s="202">
        <v>0</v>
      </c>
      <c r="AG12" s="215">
        <v>32</v>
      </c>
      <c r="AH12" s="196">
        <v>36</v>
      </c>
      <c r="AI12" s="196">
        <v>26</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1092</v>
      </c>
      <c r="AZ12" s="137">
        <f t="shared" si="1"/>
        <v>374</v>
      </c>
      <c r="BA12" s="137">
        <f t="shared" si="1"/>
        <v>432</v>
      </c>
      <c r="BB12" s="137">
        <f t="shared" si="1"/>
        <v>1028</v>
      </c>
      <c r="BC12" s="135">
        <f>IF(ISNUMBER(X12),X12," - ")</f>
        <v>174</v>
      </c>
      <c r="BD12" s="136">
        <f t="shared" si="2"/>
        <v>1.1550802139037433</v>
      </c>
      <c r="BE12" s="137">
        <f t="shared" si="3"/>
        <v>2.3796296296296298</v>
      </c>
      <c r="BF12" s="137">
        <f t="shared" si="4"/>
        <v>0.40277777777777779</v>
      </c>
      <c r="BG12" s="209">
        <f t="shared" si="5"/>
        <v>3.3935185185185186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779</v>
      </c>
      <c r="J14" s="197">
        <f t="shared" si="7"/>
        <v>340</v>
      </c>
      <c r="K14" s="197">
        <f t="shared" si="7"/>
        <v>347</v>
      </c>
      <c r="L14" s="197">
        <f t="shared" si="7"/>
        <v>772</v>
      </c>
      <c r="M14" s="197">
        <f t="shared" si="7"/>
        <v>102</v>
      </c>
      <c r="N14" s="197">
        <f t="shared" si="7"/>
        <v>130</v>
      </c>
      <c r="O14" s="197">
        <f t="shared" si="7"/>
        <v>157</v>
      </c>
      <c r="P14" s="197">
        <f t="shared" si="7"/>
        <v>109</v>
      </c>
      <c r="Q14" s="197">
        <f t="shared" si="7"/>
        <v>50</v>
      </c>
      <c r="R14" s="197">
        <f t="shared" si="7"/>
        <v>1760</v>
      </c>
      <c r="S14" s="197">
        <f t="shared" si="7"/>
        <v>1070</v>
      </c>
      <c r="T14" s="197">
        <f t="shared" si="7"/>
        <v>340</v>
      </c>
      <c r="U14" s="197">
        <f t="shared" si="7"/>
        <v>407</v>
      </c>
      <c r="V14" s="197">
        <f t="shared" si="7"/>
        <v>997</v>
      </c>
      <c r="W14" s="197">
        <f t="shared" si="7"/>
        <v>98</v>
      </c>
      <c r="X14" s="197">
        <f t="shared" si="7"/>
        <v>175</v>
      </c>
      <c r="Y14" s="197">
        <f t="shared" si="7"/>
        <v>23</v>
      </c>
      <c r="Z14" s="197">
        <f t="shared" si="7"/>
        <v>31</v>
      </c>
      <c r="AA14" s="197">
        <f t="shared" si="7"/>
        <v>20</v>
      </c>
      <c r="AB14" s="197">
        <f t="shared" si="7"/>
        <v>34</v>
      </c>
      <c r="AC14" s="197">
        <f t="shared" si="7"/>
        <v>0</v>
      </c>
      <c r="AD14" s="197">
        <f t="shared" si="7"/>
        <v>0</v>
      </c>
      <c r="AE14" s="197">
        <f t="shared" si="7"/>
        <v>0</v>
      </c>
      <c r="AF14" s="197">
        <f>SUBTOTAL(9,AF9:AF13)</f>
        <v>0</v>
      </c>
      <c r="AG14" s="197">
        <f t="shared" ref="AG14:AT14" si="8">SUBTOTAL(9,AG8:AG13)</f>
        <v>32</v>
      </c>
      <c r="AH14" s="197">
        <f t="shared" si="8"/>
        <v>36</v>
      </c>
      <c r="AI14" s="197">
        <f t="shared" si="8"/>
        <v>26</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1102</v>
      </c>
      <c r="AZ14" s="197">
        <f>SUBTOTAL(9,AZ8:AZ13)</f>
        <v>376</v>
      </c>
      <c r="BA14" s="197">
        <f>SUBTOTAL(9,BA8:BA13)</f>
        <v>433</v>
      </c>
      <c r="BB14" s="197">
        <f>SUBTOTAL(9,BB8:BB13)</f>
        <v>1039</v>
      </c>
      <c r="BC14" s="197">
        <f>SUBTOTAL(9,BC8:BC13)</f>
        <v>174</v>
      </c>
      <c r="BD14" s="219">
        <f>IF(ISNUMBER(BA14/AZ14),BA14/AZ14," - ")</f>
        <v>1.1515957446808511</v>
      </c>
      <c r="BE14" s="220">
        <f>IF(ISNUMBER(BB14/BA14),BB14/BA14, " - ")</f>
        <v>2.3995381062355658</v>
      </c>
      <c r="BF14" s="220">
        <f>IF(ISNUMBER(BC14/BA14),BC14/BA14, " - ")</f>
        <v>0.40184757505773672</v>
      </c>
      <c r="BG14" s="221">
        <f>IF(ISNUMBER((AY14+AZ14)/BA14),(AY14+AZ14)/BA14," - ")</f>
        <v>3.4133949191685913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631</v>
      </c>
      <c r="J17" s="196">
        <v>600</v>
      </c>
      <c r="K17" s="196">
        <v>678</v>
      </c>
      <c r="L17" s="196">
        <v>670</v>
      </c>
      <c r="M17" s="196">
        <v>77</v>
      </c>
      <c r="N17" s="196">
        <v>490</v>
      </c>
      <c r="O17" s="194">
        <v>0</v>
      </c>
      <c r="P17" s="196">
        <v>13</v>
      </c>
      <c r="Q17" s="196">
        <v>17</v>
      </c>
      <c r="R17" s="196">
        <v>98</v>
      </c>
      <c r="S17" s="196">
        <v>940</v>
      </c>
      <c r="T17" s="196">
        <v>453</v>
      </c>
      <c r="U17" s="196">
        <v>494</v>
      </c>
      <c r="V17" s="196">
        <v>899</v>
      </c>
      <c r="W17" s="196">
        <v>52</v>
      </c>
      <c r="X17" s="202">
        <v>349</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940</v>
      </c>
      <c r="AZ17" s="137">
        <f t="shared" si="10"/>
        <v>453</v>
      </c>
      <c r="BA17" s="137">
        <f t="shared" si="10"/>
        <v>494</v>
      </c>
      <c r="BB17" s="137">
        <f t="shared" si="10"/>
        <v>899</v>
      </c>
      <c r="BC17" s="135">
        <f>IF(ISNUMBER(W17),W17," - ")</f>
        <v>52</v>
      </c>
      <c r="BD17" s="136">
        <f t="shared" ref="BD17:BD22" si="12">IF(ISNUMBER(BA17/AZ17),BA17/AZ17," - ")</f>
        <v>1.0905077262693157</v>
      </c>
      <c r="BE17" s="137">
        <f t="shared" ref="BE17:BE22" si="13">IF(ISNUMBER(BB17/BA17),BB17/BA17, " - ")</f>
        <v>1.819838056680162</v>
      </c>
      <c r="BF17" s="137">
        <f t="shared" ref="BF17:BF22" si="14">IF(ISNUMBER(BC17/BA17),BC17/BA17, " - ")</f>
        <v>0.10526315789473684</v>
      </c>
      <c r="BG17" s="209">
        <f t="shared" si="11"/>
        <v>2.8198380566801617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27</v>
      </c>
      <c r="K18" s="196">
        <v>29</v>
      </c>
      <c r="L18" s="196">
        <v>31</v>
      </c>
      <c r="M18" s="196">
        <v>6</v>
      </c>
      <c r="N18" s="196">
        <v>13</v>
      </c>
      <c r="O18" s="196">
        <v>0</v>
      </c>
      <c r="P18" s="196">
        <v>0</v>
      </c>
      <c r="Q18" s="196">
        <v>0</v>
      </c>
      <c r="R18" s="196">
        <v>1</v>
      </c>
      <c r="S18" s="196">
        <v>36</v>
      </c>
      <c r="T18" s="196">
        <v>15</v>
      </c>
      <c r="U18" s="196">
        <v>17</v>
      </c>
      <c r="V18" s="196">
        <v>34</v>
      </c>
      <c r="W18" s="196">
        <v>2</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15</v>
      </c>
      <c r="BA18" s="139">
        <f t="shared" si="15"/>
        <v>17</v>
      </c>
      <c r="BB18" s="139">
        <f t="shared" si="15"/>
        <v>34</v>
      </c>
      <c r="BC18" s="135">
        <f>IF(ISNUMBER(W18),W18," - ")</f>
        <v>2</v>
      </c>
      <c r="BD18" s="136">
        <f>IF(ISNUMBER(BA18/AZ18),BA18/AZ18," - ")</f>
        <v>1.1333333333333333</v>
      </c>
      <c r="BE18" s="137">
        <f>IF(ISNUMBER(BB18/BA18),BB18/BA18, " - ")</f>
        <v>2</v>
      </c>
      <c r="BF18" s="137">
        <f>IF(ISNUMBER(BC18/BA18),BC18/BA18, " - ")</f>
        <v>0.11764705882352941</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664</v>
      </c>
      <c r="J23" s="197">
        <f t="shared" si="21"/>
        <v>627</v>
      </c>
      <c r="K23" s="197">
        <f t="shared" si="21"/>
        <v>707</v>
      </c>
      <c r="L23" s="197">
        <f t="shared" si="21"/>
        <v>701</v>
      </c>
      <c r="M23" s="197">
        <f t="shared" si="21"/>
        <v>83</v>
      </c>
      <c r="N23" s="197">
        <f t="shared" si="21"/>
        <v>503</v>
      </c>
      <c r="O23" s="197">
        <f t="shared" si="21"/>
        <v>0</v>
      </c>
      <c r="P23" s="197">
        <f t="shared" si="21"/>
        <v>13</v>
      </c>
      <c r="Q23" s="197">
        <f t="shared" si="21"/>
        <v>17</v>
      </c>
      <c r="R23" s="197">
        <f t="shared" si="21"/>
        <v>99</v>
      </c>
      <c r="S23" s="197">
        <f t="shared" si="21"/>
        <v>976</v>
      </c>
      <c r="T23" s="197">
        <f t="shared" si="21"/>
        <v>468</v>
      </c>
      <c r="U23" s="197">
        <f t="shared" si="21"/>
        <v>511</v>
      </c>
      <c r="V23" s="197">
        <f t="shared" si="21"/>
        <v>933</v>
      </c>
      <c r="W23" s="197">
        <f t="shared" si="21"/>
        <v>54</v>
      </c>
      <c r="X23" s="197">
        <f t="shared" si="21"/>
        <v>362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976</v>
      </c>
      <c r="AZ23" s="197">
        <f>SUBTOTAL(9,AZ15:AZ22)</f>
        <v>468</v>
      </c>
      <c r="BA23" s="197">
        <f>SUBTOTAL(9,BA15:BA22)</f>
        <v>511</v>
      </c>
      <c r="BB23" s="197">
        <f>SUBTOTAL(9,BB15:BB22)</f>
        <v>933</v>
      </c>
      <c r="BC23" s="197">
        <f>SUBTOTAL(9,BC15:BC22)</f>
        <v>54</v>
      </c>
      <c r="BD23" s="219">
        <f>IF(ISNUMBER(BA23/AZ23),BA23/AZ23," - ")</f>
        <v>1.0918803418803418</v>
      </c>
      <c r="BE23" s="220">
        <f>IF(ISNUMBER(BB23/BA23),BB23/BA23, " - ")</f>
        <v>1.8258317025440314</v>
      </c>
      <c r="BF23" s="220">
        <f>IF(ISNUMBER(BC23/BA23),BC23/BA23, " - ")</f>
        <v>0.10567514677103718</v>
      </c>
      <c r="BG23" s="221">
        <f>IF(ISNUMBER((AY23+AZ23)/BA23),(AY23+AZ23)/BA23," - ")</f>
        <v>2.8258317025440314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1443</v>
      </c>
      <c r="J31" s="144">
        <f t="shared" si="36"/>
        <v>967</v>
      </c>
      <c r="K31" s="144">
        <f t="shared" si="36"/>
        <v>1054</v>
      </c>
      <c r="L31" s="144">
        <f t="shared" si="36"/>
        <v>1473</v>
      </c>
      <c r="M31" s="144">
        <f t="shared" si="36"/>
        <v>185</v>
      </c>
      <c r="N31" s="144">
        <f t="shared" si="36"/>
        <v>633</v>
      </c>
      <c r="O31" s="144">
        <f t="shared" si="36"/>
        <v>157</v>
      </c>
      <c r="P31" s="144">
        <f t="shared" si="36"/>
        <v>122</v>
      </c>
      <c r="Q31" s="144">
        <f t="shared" si="36"/>
        <v>67</v>
      </c>
      <c r="R31" s="144">
        <f t="shared" si="36"/>
        <v>1859</v>
      </c>
      <c r="S31" s="144">
        <f t="shared" si="36"/>
        <v>2046</v>
      </c>
      <c r="T31" s="144">
        <f t="shared" si="36"/>
        <v>808</v>
      </c>
      <c r="U31" s="144">
        <f t="shared" si="36"/>
        <v>918</v>
      </c>
      <c r="V31" s="144">
        <f t="shared" si="36"/>
        <v>1930</v>
      </c>
      <c r="W31" s="144">
        <f t="shared" si="36"/>
        <v>152</v>
      </c>
      <c r="X31" s="144">
        <f t="shared" si="36"/>
        <v>537</v>
      </c>
      <c r="Y31" s="144">
        <f t="shared" si="36"/>
        <v>23</v>
      </c>
      <c r="Z31" s="144">
        <f t="shared" si="36"/>
        <v>31</v>
      </c>
      <c r="AA31" s="144">
        <f t="shared" si="36"/>
        <v>20</v>
      </c>
      <c r="AB31" s="144">
        <f t="shared" si="36"/>
        <v>34</v>
      </c>
      <c r="AC31" s="144">
        <f t="shared" si="36"/>
        <v>0</v>
      </c>
      <c r="AD31" s="144">
        <f t="shared" si="36"/>
        <v>1</v>
      </c>
      <c r="AE31" s="144">
        <f t="shared" si="36"/>
        <v>1</v>
      </c>
      <c r="AF31" s="144">
        <f t="shared" si="36"/>
        <v>0</v>
      </c>
      <c r="AG31" s="144">
        <f t="shared" si="36"/>
        <v>32</v>
      </c>
      <c r="AH31" s="144">
        <f t="shared" si="36"/>
        <v>36</v>
      </c>
      <c r="AI31" s="144">
        <f t="shared" si="36"/>
        <v>26</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2078</v>
      </c>
      <c r="AZ31" s="144">
        <f>SUBTOTAL(9,AZ9:AZ30)</f>
        <v>844</v>
      </c>
      <c r="BA31" s="144">
        <f>SUBTOTAL(9,BA9:BA30)</f>
        <v>944</v>
      </c>
      <c r="BB31" s="144">
        <f>SUBTOTAL(9,BB9:BB30)</f>
        <v>1972</v>
      </c>
      <c r="BC31" s="145">
        <f>SUBTOTAL(9,BC9:BC30)</f>
        <v>228</v>
      </c>
      <c r="BD31" s="227">
        <f>IF(ISNUMBER(BA31/AZ31),BA31/AZ31," - ")</f>
        <v>1.1184834123222749</v>
      </c>
      <c r="BE31" s="224">
        <f>IF(ISNUMBER(BB31/BA31),BB31/BA31, " - ")</f>
        <v>2.0889830508474576</v>
      </c>
      <c r="BF31" s="224">
        <f>IF(ISNUMBER(BC31/BA31),BC31/BA31, " - ")</f>
        <v>0.24152542372881355</v>
      </c>
      <c r="BG31" s="145">
        <f>IF(ISNUMBER((AY31+AZ31)/BA31),(AY31+AZ31)/BA31," - ")</f>
        <v>3.0953389830508473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sVSF2R3yEAZcupHpAbYOHYJZ8dJD0cAmtCgBP+NJzJhxj945FJxq43nooxxgg1z6P9CeH8JwWNFBFIWqpcWg==" saltValue="Iu+yxxnvXy1j/bVM0bU3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Yvj7RrBTz728G3iuVO14CPNplDZLW45P9l2lUCFsRsXg5sTgjMwYOvw/lbaixNlOdgrD8Y/CquuQwONHqC3JA==" saltValue="AtBT9a1DiRtnafyDyTCv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ZAFRA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1.6</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1759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v>
      </c>
      <c r="BD12" s="693">
        <f>IF(ISNUMBER(Datos!N12),Datos!N12," - ")</f>
        <v>129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0.98087431693989069</v>
      </c>
      <c r="BH12" s="764">
        <f>IF(ISNUMBER(((IF(J_V="SI",Datos!L12/Datos!K12,(Datos!L12+Datos!AB12)/(Datos!K12+Datos!AA12)))*11)/factor_trimestre),((IF(J_V="SI",Datos!L12/Datos!K12,(Datos!L12+Datos!AB12)/(Datos!K12+Datos!AA12)))*11)/factor_trimestre," - ")</f>
        <v>6.6852367688022287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3.4705882352941177E-2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50</v>
      </c>
      <c r="AD14" s="1198">
        <f t="shared" si="2"/>
        <v>0</v>
      </c>
      <c r="AE14" s="1198">
        <f t="shared" si="2"/>
        <v>0</v>
      </c>
      <c r="AF14" s="1198">
        <f t="shared" si="2"/>
        <v>6</v>
      </c>
      <c r="AG14" s="1198">
        <f t="shared" si="2"/>
        <v>0</v>
      </c>
      <c r="AH14" s="1198">
        <f t="shared" si="2"/>
        <v>34</v>
      </c>
      <c r="AI14" s="1198">
        <f t="shared" si="2"/>
        <v>0</v>
      </c>
      <c r="AJ14" s="1198">
        <f t="shared" si="2"/>
        <v>0</v>
      </c>
      <c r="AK14" s="1198">
        <f t="shared" si="2"/>
        <v>0</v>
      </c>
      <c r="AL14" s="1198">
        <f t="shared" si="2"/>
        <v>0</v>
      </c>
      <c r="AM14" s="1198">
        <f t="shared" si="2"/>
        <v>1760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v>
      </c>
      <c r="BD14" s="1198">
        <f t="shared" si="2"/>
        <v>130</v>
      </c>
      <c r="BE14" s="1198">
        <f t="shared" si="2"/>
        <v>0</v>
      </c>
      <c r="BF14" s="1198">
        <f t="shared" si="2"/>
        <v>0</v>
      </c>
      <c r="BG14" s="1198">
        <f>IF(ISNUMBER(Datos!K14/Datos!J14),Datos!K14/Datos!J14," - ")</f>
        <v>1.0205882352941176</v>
      </c>
      <c r="BH14" s="1202">
        <f>IF(ISNUMBER(((Datos!L14/Datos!K14)*11)/factor_trimestre),((Datos!L14/Datos!K14)*11)/factor_trimestre," - ")</f>
        <v>6.6743515850144099</v>
      </c>
      <c r="BI14" s="1198">
        <f>IF(ISNUMBER('Resol  Asuntos'!D14/NºAsuntos!G14),'Resol  Asuntos'!D14/NºAsuntos!G14," - ")</f>
        <v>0.27792915531335149</v>
      </c>
      <c r="BJ14" s="1198" t="str">
        <f>IF(ISNUMBER(Datos!CI14/Datos!CJ14),Datos!CI14/Datos!CJ14," - ")</f>
        <v xml:space="preserve"> - </v>
      </c>
      <c r="BK14" s="1198">
        <f>SUBTOTAL(9,BK8:BK13)</f>
        <v>0</v>
      </c>
      <c r="BL14" s="1198">
        <f>IF(ISNUMBER((I14-AB14+L14)/(F14)),(I14-AB14+L14)/(F14)," - ")</f>
        <v>-0.88888888888888884</v>
      </c>
      <c r="BM14" s="1203">
        <f>SUBTOTAL(9,BM9:BM13)</f>
        <v>3.4705882352941177E-2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748</v>
      </c>
      <c r="G17" s="743">
        <f>IF(ISNUMBER(IF(D_I="SI",Datos!I17,Datos!I17+Datos!AC17)),IF(D_I="SI",Datos!I17,Datos!I17+Datos!AC17)," - ")</f>
        <v>631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678</v>
      </c>
      <c r="AC17" s="240">
        <f>IF(ISNUMBER(Datos!Q17),Datos!Q17," - ")</f>
        <v>17</v>
      </c>
      <c r="AD17" s="374"/>
      <c r="AE17" s="562"/>
      <c r="AF17" s="741">
        <f>IF(ISNUMBER(IF(D_I="SI",Datos!L17,Datos!L17+Datos!AF17)),IF(D_I="SI",Datos!L17,Datos!L17+Datos!AF17)," - ")</f>
        <v>670</v>
      </c>
      <c r="AG17" s="374"/>
      <c r="AH17" s="374"/>
      <c r="AI17" s="374"/>
      <c r="AJ17" s="549"/>
      <c r="AK17" s="374"/>
      <c r="AL17" s="545"/>
      <c r="AM17" s="375">
        <f>IF(ISNUMBER(Datos!R17),Datos!R17," - ")</f>
        <v>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490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1.1299999999999999</v>
      </c>
      <c r="BH17" s="764">
        <f>IF(ISNUMBER(((IF(D_I="SI",Datos!L17/Datos!K17,(Datos!L17+Datos!AF17)/(Datos!K17+Datos!AE17)))*11)/factor_trimestre),((IF(D_I="SI",Datos!L17/Datos!K17,(Datos!L17+Datos!AF17)/(Datos!K17+Datos!AE17)))*11)/factor_trimestre," - ")</f>
        <v>2.9646017699115044</v>
      </c>
      <c r="BI17" s="266">
        <f>IF(ISNUMBER('Resol  Asuntos'!D17/NºAsuntos!G17),'Resol  Asuntos'!D17/NºAsuntos!G17," - ")</f>
        <v>0.11356932153392331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31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1.0740740740740742</v>
      </c>
      <c r="BH18" s="764">
        <f>IF(ISNUMBER(((IF(D_I="SI",Datos!L18/Datos!K18,(Datos!L18+Datos!AF18)/(Datos!K18+Datos!AE18)))*11)/factor_trimestre),((IF(D_I="SI",Datos!L18/Datos!K18,(Datos!L18+Datos!AF18)/(Datos!K18+Datos!AE18)))*11)/factor_trimestre," - ")</f>
        <v>3.2068965517241375</v>
      </c>
      <c r="BI18" s="763">
        <f>IF(ISNUMBER('Resol  Asuntos'!D18/NºAsuntos!G18),'Resol  Asuntos'!D18/NºAsuntos!G18," - ")</f>
        <v>0.20689655172413793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748</v>
      </c>
      <c r="G23" s="1197">
        <f>SUBTOTAL(9,G16:G22)</f>
        <v>664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707</v>
      </c>
      <c r="AC23" s="1198">
        <f t="shared" si="5"/>
        <v>17</v>
      </c>
      <c r="AD23" s="1198">
        <f t="shared" si="5"/>
        <v>0</v>
      </c>
      <c r="AE23" s="1198">
        <f t="shared" si="5"/>
        <v>0</v>
      </c>
      <c r="AF23" s="1198">
        <f t="shared" si="5"/>
        <v>701</v>
      </c>
      <c r="AG23" s="1198">
        <f t="shared" si="5"/>
        <v>0</v>
      </c>
      <c r="AH23" s="1198">
        <f t="shared" si="5"/>
        <v>0</v>
      </c>
      <c r="AI23" s="1198">
        <f t="shared" si="5"/>
        <v>0</v>
      </c>
      <c r="AJ23" s="1198">
        <f t="shared" si="5"/>
        <v>0</v>
      </c>
      <c r="AK23" s="1198">
        <f t="shared" si="5"/>
        <v>0</v>
      </c>
      <c r="AL23" s="1198">
        <f t="shared" si="5"/>
        <v>0</v>
      </c>
      <c r="AM23" s="1198">
        <f t="shared" si="5"/>
        <v>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503</v>
      </c>
      <c r="BE23" s="1198">
        <f t="shared" si="5"/>
        <v>0</v>
      </c>
      <c r="BF23" s="1198">
        <f t="shared" si="5"/>
        <v>0</v>
      </c>
      <c r="BG23" s="1198">
        <f>IF(ISNUMBER(Datos!K23/Datos!J23),Datos!K23/Datos!J23," - ")</f>
        <v>1.127591706539075</v>
      </c>
      <c r="BH23" s="1202">
        <f>IF(ISNUMBER(((Datos!L23/Datos!K23)*11)/factor_trimestre),((Datos!L23/Datos!K23)*11)/factor_trimestre," - ")</f>
        <v>2.9745403111739748</v>
      </c>
      <c r="BI23" s="1198">
        <f>SUBTOTAL(9,BI16:BI22)</f>
        <v>0.32046587325806125</v>
      </c>
      <c r="BJ23" s="1198">
        <f>SUBTOTAL(9,BJ16:BJ22)</f>
        <v>0</v>
      </c>
      <c r="BK23" s="1198">
        <f>SUBTOTAL(9,BK16:BK22)</f>
        <v>0</v>
      </c>
      <c r="BL23" s="1198">
        <f>IF(ISNUMBER((I23-AB23+L23)/(F23)),(I23-AB23+L23)/(F23)," - ")</f>
        <v>-0.94518716577540107</v>
      </c>
      <c r="BM23" s="1205">
        <f>IF(ISNUMBER((Datos!P23-Datos!Q23)/(Datos!R23-Datos!P23+Datos!Q23)),(Datos!P23-Datos!Q23)/(Datos!R23-Datos!P23+Datos!Q23)," - ")</f>
        <v>-3.8834951456310676E-2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757</v>
      </c>
      <c r="G31" s="1117">
        <f t="shared" si="18"/>
        <v>673</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715</v>
      </c>
      <c r="AC31" s="1118">
        <f t="shared" si="19"/>
        <v>67</v>
      </c>
      <c r="AD31" s="1118">
        <f t="shared" si="19"/>
        <v>0</v>
      </c>
      <c r="AE31" s="1118">
        <f t="shared" si="19"/>
        <v>0</v>
      </c>
      <c r="AF31" s="1125">
        <f t="shared" si="19"/>
        <v>707</v>
      </c>
      <c r="AG31" s="1125">
        <f t="shared" si="19"/>
        <v>0</v>
      </c>
      <c r="AH31" s="1125">
        <f t="shared" si="19"/>
        <v>34</v>
      </c>
      <c r="AI31" s="1125">
        <f t="shared" si="19"/>
        <v>0</v>
      </c>
      <c r="AJ31" s="1118">
        <f t="shared" si="19"/>
        <v>0</v>
      </c>
      <c r="AK31" s="1125">
        <f t="shared" si="19"/>
        <v>0</v>
      </c>
      <c r="AL31" s="1125">
        <f t="shared" si="19"/>
        <v>0</v>
      </c>
      <c r="AM31" s="1125">
        <f t="shared" si="19"/>
        <v>1859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v>
      </c>
      <c r="BD31" s="1117">
        <f t="shared" si="19"/>
        <v>633</v>
      </c>
      <c r="BE31" s="1117">
        <f t="shared" si="19"/>
        <v>0</v>
      </c>
      <c r="BF31" s="1127">
        <f t="shared" si="19"/>
        <v>0</v>
      </c>
      <c r="BG31" s="1223">
        <f>IF(ISNUMBER(Datos!K31/Datos!J31),Datos!K31/Datos!J31," - ")</f>
        <v>1.0899689762150981</v>
      </c>
      <c r="BH31" s="1223">
        <f>IF(ISNUMBER(((Datos!L31/Datos!K31)*11)/factor_trimestre),((Datos!L31/Datos!K31)*11)/factor_trimestre," - ")</f>
        <v>4.1925996204933584</v>
      </c>
      <c r="BI31" s="1103">
        <f>IF(ISNUMBER(Datos!J31/Datos!I31),Datos!J31/Datos!I31," - ")</f>
        <v>0.67013167013167008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-0.94451783355350061</v>
      </c>
      <c r="BM31" s="1188">
        <f>IF(ISNUMBER((Datos!P31-Datos!Q31+R31)/(Datos!R31-Datos!P31+Datos!Q31-R31)),(Datos!P31-Datos!Q31+R31)/(Datos!R31-Datos!P31+Datos!Q31-R31)," - ")</f>
        <v>3.048780487804878E-2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383.96284542474501</v>
      </c>
      <c r="G33" s="674">
        <f>IF(ISNUMBER(STDEV(G8:G30)),STDEV(G8:G30),"-")</f>
        <v>311.31212327058211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333.75975106140561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47.742613490016886</v>
      </c>
      <c r="BD33" s="673"/>
      <c r="BE33" s="673">
        <f>IF(ISNUMBER(STDEV(BE8:BE30)),STDEV(BE8:BE30),"-")</f>
        <v>0</v>
      </c>
      <c r="BF33" s="678">
        <f>IF(ISNUMBER(STDEV(BF8:BF30)),STDEV(BF8:BF30),"-")</f>
        <v>0</v>
      </c>
      <c r="BG33" s="1052">
        <f>IF(ISNUMBER(STDEV(BG8:BG30)),STDEV(BG8:BG30),"-")</f>
        <v>0.22553707675332327</v>
      </c>
      <c r="BH33" s="1058">
        <f>IF(ISNUMBER(STDEV(BH8:BH30)),STDEV(BH8:BH30),"-")</f>
        <v>2.0041267938392253</v>
      </c>
      <c r="BI33" s="273">
        <f>IF(ISNUMBER(STDEV(BI8:BI30)),STDEV(BI8:BI30),"-")</f>
        <v>9.0500139921698128E-2</v>
      </c>
      <c r="BJ33" s="244" t="str">
        <f>IF(ISNUMBER(BL33/BM33),BL33/BM33," - ")</f>
        <v xml:space="preserve"> - </v>
      </c>
      <c r="BK33" s="709"/>
      <c r="BL33" s="681">
        <f>IF(ISNUMBER(STDEV(BL8:BL30)),STDEV(BL8:BL30),"-")</f>
        <v>3.9808893355570675E-2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G/D1diWPyi72W5Sg0NPkdl5yg5HPdCFHUs41B9AedlXa67hx8UDWQd9PFNGizmuKHupO+3RxXByZA1+gmzV+A==" saltValue="Le/30e6jMatCsgkSLikv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ZAFRA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1759</v>
      </c>
      <c r="AF12" s="693" t="str">
        <f>IF(ISNUMBER(Datos!BV12),Datos!BV12," - ")</f>
        <v xml:space="preserve"> - </v>
      </c>
      <c r="AG12" s="552" t="str">
        <f>IF(ISNUMBER(Datos!DV12),Datos!DV12," - ")</f>
        <v xml:space="preserve"> - </v>
      </c>
      <c r="AH12" s="553"/>
      <c r="AI12" s="554"/>
      <c r="AJ12" s="552">
        <f>IF(ISNUMBER(Datos!M12),Datos!M12," - ")</f>
        <v>99</v>
      </c>
      <c r="AK12" s="693">
        <f>IF(ISNUMBER(Datos!N12),Datos!N12," - ")</f>
        <v>129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6.6852367688022287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3.4705882352941177E-2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50</v>
      </c>
      <c r="AA14" s="1199">
        <f t="shared" si="3"/>
        <v>6</v>
      </c>
      <c r="AB14" s="1199">
        <f t="shared" si="3"/>
        <v>0</v>
      </c>
      <c r="AC14" s="1199">
        <f t="shared" si="3"/>
        <v>0</v>
      </c>
      <c r="AD14" s="1199">
        <f t="shared" si="3"/>
        <v>0</v>
      </c>
      <c r="AE14" s="1199">
        <f t="shared" si="3"/>
        <v>1760</v>
      </c>
      <c r="AF14" s="1211">
        <f t="shared" si="3"/>
        <v>0</v>
      </c>
      <c r="AG14" s="1211">
        <f t="shared" si="3"/>
        <v>0</v>
      </c>
      <c r="AH14" s="1211">
        <f t="shared" si="3"/>
        <v>0</v>
      </c>
      <c r="AI14" s="1211">
        <f t="shared" si="3"/>
        <v>0</v>
      </c>
      <c r="AJ14" s="1211">
        <f t="shared" si="3"/>
        <v>102</v>
      </c>
      <c r="AK14" s="1211">
        <f t="shared" si="3"/>
        <v>130</v>
      </c>
      <c r="AL14" s="1211">
        <f t="shared" si="3"/>
        <v>0</v>
      </c>
      <c r="AM14" s="1211">
        <f t="shared" si="3"/>
        <v>0</v>
      </c>
      <c r="AN14" s="1211">
        <f t="shared" si="3"/>
        <v>0</v>
      </c>
      <c r="AO14" s="1203">
        <f>IF(ISNUMBER(((NºAsuntos!I14/NºAsuntos!G14)*11)/factor_trimestre),((NºAsuntos!I14/NºAsuntos!G14)*11)/factor_trimestre," - ")</f>
        <v>6.5885558583106265</v>
      </c>
      <c r="AP14" s="1213" t="str">
        <f>IF(ISNUMBER(Datos!CI14/Datos!CJ14),Datos!CI14/Datos!CJ14," - ")</f>
        <v xml:space="preserve"> - </v>
      </c>
      <c r="AQ14" s="1236">
        <f t="shared" ref="AQ14:AV14" si="4">SUBTOTAL(9,AQ9:AQ13)</f>
        <v>0</v>
      </c>
      <c r="AR14" s="1236">
        <f t="shared" si="4"/>
        <v>3.4705882352941177E-2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748</v>
      </c>
      <c r="G17" s="552">
        <f>IF(ISNUMBER(IF(D_I="SI",Datos!I17,Datos!I17+Datos!AC17)),IF(D_I="SI",Datos!I17,Datos!I17+Datos!AC17)," - ")</f>
        <v>631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678</v>
      </c>
      <c r="Z17" s="805">
        <f>IF(ISNUMBER(Datos!Q17),Datos!Q17," - ")</f>
        <v>17</v>
      </c>
      <c r="AA17" s="551">
        <f>IF(ISNUMBER(IF(D_I="SI",Datos!L17,Datos!L17+Datos!AF17)),IF(D_I="SI",Datos!L17,Datos!L17+Datos!AF17)," - ")</f>
        <v>670</v>
      </c>
      <c r="AB17" s="549"/>
      <c r="AC17" s="549"/>
      <c r="AD17" s="563"/>
      <c r="AE17" s="563">
        <f>IF(ISNUMBER(Datos!R17),Datos!R17," - ")</f>
        <v>98</v>
      </c>
      <c r="AF17" s="693" t="str">
        <f>IF(ISNUMBER(Datos!BV17),Datos!BV17," - ")</f>
        <v xml:space="preserve"> - </v>
      </c>
      <c r="AG17" s="552"/>
      <c r="AH17" s="553"/>
      <c r="AI17" s="554"/>
      <c r="AJ17" s="552">
        <f>IF(ISNUMBER(Datos!M17),Datos!M17," - ")</f>
        <v>77</v>
      </c>
      <c r="AK17" s="693">
        <f>IF(ISNUMBER(Datos!N17),Datos!N17," - ")</f>
        <v>490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2.9646017699115044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31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3.2068965517241375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748</v>
      </c>
      <c r="G23" s="1197">
        <f>SUBTOTAL(9,G16:G22)</f>
        <v>664</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707</v>
      </c>
      <c r="Z23" s="1240">
        <f t="shared" si="6"/>
        <v>17</v>
      </c>
      <c r="AA23" s="1240">
        <f t="shared" si="6"/>
        <v>701</v>
      </c>
      <c r="AB23" s="1240">
        <f t="shared" si="6"/>
        <v>0</v>
      </c>
      <c r="AC23" s="1240">
        <f t="shared" si="6"/>
        <v>0</v>
      </c>
      <c r="AD23" s="1240">
        <f t="shared" si="6"/>
        <v>0</v>
      </c>
      <c r="AE23" s="1240">
        <f t="shared" si="6"/>
        <v>99</v>
      </c>
      <c r="AF23" s="1240">
        <f t="shared" si="6"/>
        <v>0</v>
      </c>
      <c r="AG23" s="1240">
        <f t="shared" si="6"/>
        <v>0</v>
      </c>
      <c r="AH23" s="1240">
        <f t="shared" si="6"/>
        <v>0</v>
      </c>
      <c r="AI23" s="1240">
        <f t="shared" si="6"/>
        <v>0</v>
      </c>
      <c r="AJ23" s="1240">
        <f t="shared" si="6"/>
        <v>83</v>
      </c>
      <c r="AK23" s="1240">
        <f t="shared" si="6"/>
        <v>503</v>
      </c>
      <c r="AL23" s="1240">
        <f t="shared" si="6"/>
        <v>0</v>
      </c>
      <c r="AM23" s="1240">
        <f t="shared" si="6"/>
        <v>0</v>
      </c>
      <c r="AN23" s="1240">
        <f t="shared" si="6"/>
        <v>0</v>
      </c>
      <c r="AO23" s="1242">
        <f>IF(ISNUMBER(((NºAsuntos!I23/NºAsuntos!G23)*11)/factor_trimestre),((NºAsuntos!I23/NºAsuntos!G23)*11)/factor_trimestre," - ")</f>
        <v>2.9745403111739748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757</v>
      </c>
      <c r="G31" s="1117">
        <f t="shared" si="12"/>
        <v>673</v>
      </c>
      <c r="H31" s="1118">
        <f t="shared" si="12"/>
        <v>0</v>
      </c>
      <c r="I31" s="1117">
        <f t="shared" si="12"/>
        <v>0</v>
      </c>
      <c r="J31" s="1119">
        <f t="shared" si="12"/>
        <v>0</v>
      </c>
      <c r="K31" s="1117">
        <f t="shared" si="12"/>
        <v>0</v>
      </c>
      <c r="L31" s="1120">
        <f t="shared" si="12"/>
        <v>0</v>
      </c>
      <c r="M31" s="1117">
        <f t="shared" si="12"/>
        <v>0</v>
      </c>
      <c r="N31" s="1118">
        <f t="shared" si="12"/>
        <v>122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715</v>
      </c>
      <c r="Z31" s="1124">
        <f t="shared" si="13"/>
        <v>67</v>
      </c>
      <c r="AA31" s="1125">
        <f t="shared" si="13"/>
        <v>707</v>
      </c>
      <c r="AB31" s="1125">
        <f t="shared" si="13"/>
        <v>0</v>
      </c>
      <c r="AC31" s="1125">
        <f t="shared" si="13"/>
        <v>0</v>
      </c>
      <c r="AD31" s="1126">
        <f t="shared" si="13"/>
        <v>0</v>
      </c>
      <c r="AE31" s="1126">
        <f t="shared" si="13"/>
        <v>1859</v>
      </c>
      <c r="AF31" s="1127">
        <f t="shared" si="13"/>
        <v>0</v>
      </c>
      <c r="AG31" s="1128">
        <f t="shared" si="13"/>
        <v>0</v>
      </c>
      <c r="AH31" s="1129">
        <f t="shared" si="13"/>
        <v>0</v>
      </c>
      <c r="AI31" s="1127">
        <f t="shared" si="13"/>
        <v>0</v>
      </c>
      <c r="AJ31" s="1117">
        <f t="shared" si="13"/>
        <v>185</v>
      </c>
      <c r="AK31" s="1117">
        <f t="shared" si="13"/>
        <v>633</v>
      </c>
      <c r="AL31" s="1117">
        <f t="shared" si="13"/>
        <v>0</v>
      </c>
      <c r="AM31" s="1130">
        <f t="shared" si="13"/>
        <v>0</v>
      </c>
      <c r="AN31" s="1120">
        <f>IF(ISNUMBER(Datos!K31/Datos!J31),Datos!K31/Datos!J31," - ")</f>
        <v>1.0899689762150981</v>
      </c>
      <c r="AO31" s="1120">
        <f>IF(ISNUMBER(FIND("06",Criterios!A8,1)),(IF(ISNUMBER(((Datos!R31/Datos!Q31)*11)/factor_trimestre),((Datos!R31/Datos!Q31)*11)/factor_trimestre," - ")),(IF(ISNUMBER(((Datos!L31/Datos!K31)*11)/factor_trimestre),((Datos!L31/Datos!K31)*11)/factor_trimestre," - ")))</f>
        <v>4.1925996204933584</v>
      </c>
      <c r="AP31" s="1131" t="str">
        <f>IF(ISNUMBER(Datos!CI31/Datos!CJ31),Datos!CI31/Datos!CJ31," - ")</f>
        <v xml:space="preserve"> - </v>
      </c>
      <c r="AQ31" s="1131">
        <f>IF(OR(ISNUMBER(FIND("01",Criterios!A8,1)),ISNUMBER(FIND("02",Criterios!A8,1)),ISNUMBER(FIND("03",Criterios!A8,1)),ISNUMBER(FIND("04",Criterios!A8,1))),(J31-Y31+K31)/(F31-K31),(I31-Y31+K31)/(F31-K31))</f>
        <v>-0.94451783355350061</v>
      </c>
      <c r="AR31" s="1131">
        <f>IF(ISNUMBER((Datos!P31-Datos!Q31+O31)/(Datos!R31-Datos!P31+Datos!Q31-O31)),(Datos!P31-Datos!Q31+O31)/(Datos!R31-Datos!P31+Datos!Q31-O31)," - ")</f>
        <v>3.048780487804878E-2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383.96284542474501</v>
      </c>
      <c r="G33" s="674">
        <f>IF(ISNUMBER(STDEV(G8:G30)),STDEV(G8:G30),"-")</f>
        <v>311.31212327058211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47.742613490016886</v>
      </c>
      <c r="AK33" s="276"/>
      <c r="AL33" s="276">
        <f>IF(ISNUMBER(STDEV(AL8:AL30)),STDEV(AL8:AL30),"-")</f>
        <v>0</v>
      </c>
      <c r="AM33" s="278">
        <f>IF(ISNUMBER(STDEV(AM8:AM30)),STDEV(AM8:AM30),"-")</f>
        <v>0</v>
      </c>
      <c r="AN33" s="660">
        <f>IF(ISNUMBER(STDEV(AN8:AN30)),STDEV(AN8:AN30),"-")</f>
        <v>0</v>
      </c>
      <c r="AO33" s="661">
        <f>IF(ISNUMBER(STDEV(AO8:AO30)),STDEV(AO8:AO30),"-")</f>
        <v>1.9824968649628731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E4uwPhxTKdBiHia+SpfFb4BRYaUqRSZ1hqSoxfSc1Ut+V2SMq0a/SU8gDb0ZnOH+i/VmvyoWu1XLWKRR+pe+A==" saltValue="awqN+49YXCFS95LpQ6kH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VBmAsLejQpatuW3jR+iLZPL4gAQz4khRIa0zCHn0+1G3LU8ubpk+77htU+8CVqE/AupqOG2kZSaUtY/gkoqpQ==" saltValue="nQJOA+HyMYqhkcL/YYx4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7cXV37ffTtKysNkWXDe2+6z/rSJz+qSgTFivNxb3l9m/Qw6Ooq/UeZUz74XA2o0SnNJAFhug+n7NMruoW27FA==" saltValue="ez6qllZuOgK7XmJHIbEj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ZAFRA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0.27792915531335149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0.19652559041152001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pTQwfbQSgkpQaqBUHfcWfQp620EFsXWSJW7Dn1DUqeIaPiqrfL31JJAiGeKO20ewFW+yjDnzv1OC3ENXhurQ==" saltValue="9rK/Mo09pn57cAlVoV55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T/91CGf+Ks47RzA32LtcQVOK1kO8YD7Z4umnti/vD6g6mPS/p3YZ47CjMI7MelbGhwzE4tme/rPzvioGZokkg==" saltValue="dTPEte8Z4ZOy9SU0AI9q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ZAFRA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5</v>
      </c>
      <c r="F10" s="452">
        <f>IF(ISNUMBER(E10/B10),E10/B10," - ")</f>
        <v>5</v>
      </c>
      <c r="G10" s="451">
        <f>IF(ISNUMBER(Datos!K10),Datos!K10," - ")</f>
        <v>8</v>
      </c>
      <c r="H10" s="452">
        <f>IF(ISNUMBER(G10/B10),G10/B10," - ")</f>
        <v>8</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793</v>
      </c>
      <c r="D12" s="452">
        <f>IF(ISNUMBER(C12/Datos!BH12),C12/Datos!BH12," - ")</f>
        <v>396.5</v>
      </c>
      <c r="E12" s="451">
        <f>IF(ISNUMBER(IF(J_V="SI",Datos!J12,Datos!J12+Datos!Z12)),IF(J_V="SI",Datos!J12,Datos!J12+Datos!Z12)," - ")</f>
        <v>366</v>
      </c>
      <c r="F12" s="452">
        <f>IF(ISNUMBER(E12/B12),E12/B12," - ")</f>
        <v>183</v>
      </c>
      <c r="G12" s="451">
        <f>IF(ISNUMBER(IF(J_V="SI",Datos!K12,Datos!K12+Datos!AA12)),IF(J_V="SI",Datos!K12,Datos!K12+Datos!AA12)," - ")</f>
        <v>359</v>
      </c>
      <c r="H12" s="452">
        <f>IF(ISNUMBER(G12/B12),G12/B12," - ")</f>
        <v>179.5</v>
      </c>
      <c r="I12" s="451">
        <f>IF(ISNUMBER(IF(J_V="SI",Datos!L12,Datos!L12+Datos!AB12)),IF(J_V="SI",Datos!L12,Datos!L12+Datos!AB12)," - ")</f>
        <v>800</v>
      </c>
      <c r="J12" s="452">
        <f>IF(ISNUMBER(I12/B12),I12/B12," - ")</f>
        <v>400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802</v>
      </c>
      <c r="D14" s="1147" t="str">
        <f>IF(ISNUMBER(C14/Datos!BI14),C14/Datos!BI14," - ")</f>
        <v xml:space="preserve"> - </v>
      </c>
      <c r="E14" s="1146">
        <f>SUBTOTAL(9,E8:E13)</f>
        <v>371</v>
      </c>
      <c r="F14" s="1147">
        <f>IF(ISNUMBER(E14/B14),E14/B14," - ")</f>
        <v>185.5</v>
      </c>
      <c r="G14" s="1146">
        <f>SUBTOTAL(9,G8:G13)</f>
        <v>367</v>
      </c>
      <c r="H14" s="1147">
        <f>IF(ISNUMBER(G14/B14),G14/B14," - ")</f>
        <v>183.5</v>
      </c>
      <c r="I14" s="1146">
        <f>SUBTOTAL(9,I8:I13)</f>
        <v>806</v>
      </c>
      <c r="J14" s="1147">
        <f>IF(ISNUMBER(I14/B14),I14/B14," - ")</f>
        <v>403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631</v>
      </c>
      <c r="D17" s="452">
        <f>IF(ISNUMBER(C17/Datos!BH17),C17/Datos!BH17," - ")</f>
        <v>315.5</v>
      </c>
      <c r="E17" s="451">
        <f>IF(ISNUMBER(IF(D_I="SI",Datos!J17,Datos!J17+Datos!AD17)),IF(D_I="SI",Datos!J17,Datos!J17+Datos!AD17)," - ")</f>
        <v>600</v>
      </c>
      <c r="F17" s="452">
        <f>IF(ISNUMBER(E17/B17),E17/B17," - ")</f>
        <v>300</v>
      </c>
      <c r="G17" s="451">
        <f>IF(ISNUMBER(IF(D_I="SI",Datos!K17,Datos!K17+Datos!AE17)),IF(D_I="SI",Datos!K17,Datos!K17+Datos!AE17)," - ")</f>
        <v>678</v>
      </c>
      <c r="H17" s="452">
        <f>IF(ISNUMBER(G17/B17),G17/B17," - ")</f>
        <v>339</v>
      </c>
      <c r="I17" s="451">
        <f>IF(ISNUMBER(IF(D_I="SI",Datos!L17,Datos!L17+Datos!AF17)),IF(D_I="SI",Datos!L17,Datos!L17+Datos!AF17)," - ")</f>
        <v>670</v>
      </c>
      <c r="J17" s="452">
        <f>IF(ISNUMBER(I17/B17),I17/B17," - ")</f>
        <v>335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27</v>
      </c>
      <c r="F18" s="452">
        <f>IF(ISNUMBER(E18/B18),E18/B18," - ")</f>
        <v>27</v>
      </c>
      <c r="G18" s="451">
        <f>IF(ISNUMBER(IF(D_I="SI",Datos!K18,Datos!K18+Datos!AE18)),IF(D_I="SI",Datos!K18,Datos!K18+Datos!AE18)," - ")</f>
        <v>29</v>
      </c>
      <c r="H18" s="452">
        <f>IF(ISNUMBER(G18/B18),G18/B18," - ")</f>
        <v>29</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664</v>
      </c>
      <c r="D23" s="1147" t="str">
        <f>IF(ISNUMBER(C23/Datos!BI23),C23/Datos!BI23," - ")</f>
        <v xml:space="preserve"> - </v>
      </c>
      <c r="E23" s="1146">
        <f>SUBTOTAL(9,E15:E22)</f>
        <v>627</v>
      </c>
      <c r="F23" s="1147">
        <f>IF(ISNUMBER(E23/B23),E23/B23," - ")</f>
        <v>313.5</v>
      </c>
      <c r="G23" s="1146">
        <f>SUBTOTAL(9,G15:G22)</f>
        <v>707</v>
      </c>
      <c r="H23" s="1147">
        <f>IF(ISNUMBER(G23/B23),G23/B23," - ")</f>
        <v>353.5</v>
      </c>
      <c r="I23" s="1146">
        <f>SUBTOTAL(9,I15:I22)</f>
        <v>701</v>
      </c>
      <c r="J23" s="1147">
        <f>IF(ISNUMBER(I23/B23),I23/B23," - ")</f>
        <v>350.5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1466</v>
      </c>
      <c r="D31" s="1085" t="str">
        <f>IF(ISNUMBER(C31/Datos!BI31),C31/Datos!BI31," - ")</f>
        <v xml:space="preserve"> - </v>
      </c>
      <c r="E31" s="1084">
        <f>SUBTOTAL(9,E9:E30)</f>
        <v>998</v>
      </c>
      <c r="F31" s="1085">
        <f>IF(ISNUMBER(E31/B31),E31/B31," - ")</f>
        <v>499</v>
      </c>
      <c r="G31" s="1084">
        <f>SUBTOTAL(9,G9:G30)</f>
        <v>1074</v>
      </c>
      <c r="H31" s="1085">
        <f>IF(ISNUMBER(G31/B31),G31/B31," - ")</f>
        <v>537</v>
      </c>
      <c r="I31" s="1084">
        <f>SUBTOTAL(9,I9:I30)</f>
        <v>1507</v>
      </c>
      <c r="J31" s="1085">
        <f>IF(ISNUMBER(I31/B31),I31/B31," - ")</f>
        <v>753.5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CO/yIZBOGmxPYXzGoJ0CcaQizNAwk5CE2PYReusCP97GHPrEssjyJg5Nl59jYX642bHk6+qO84AP4WDpSqd6g==" saltValue="ud/6c3HB14VI0SWAoMe4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ZAFRA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v>
      </c>
      <c r="AM12" s="914">
        <f>IF(ISNUMBER(Datos!N12+DatosP!N17),Datos!N12+DatosP!N17," - ")</f>
        <v>129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6.6852367688022287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3.4705882352941177E-2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50</v>
      </c>
      <c r="AE14" s="1257">
        <f t="shared" si="1"/>
        <v>0</v>
      </c>
      <c r="AF14" s="1257">
        <f t="shared" si="1"/>
        <v>6</v>
      </c>
      <c r="AG14" s="1257">
        <f t="shared" si="1"/>
        <v>0</v>
      </c>
      <c r="AH14" s="1257">
        <f t="shared" si="1"/>
        <v>1759</v>
      </c>
      <c r="AI14" s="1257">
        <f t="shared" si="1"/>
        <v>0</v>
      </c>
      <c r="AJ14" s="1257">
        <f t="shared" si="1"/>
        <v>0</v>
      </c>
      <c r="AK14" s="1257">
        <f t="shared" si="1"/>
        <v>0</v>
      </c>
      <c r="AL14" s="1257">
        <f t="shared" si="1"/>
        <v>102</v>
      </c>
      <c r="AM14" s="1257">
        <f t="shared" si="1"/>
        <v>130</v>
      </c>
      <c r="AN14" s="1257">
        <f t="shared" si="1"/>
        <v>0</v>
      </c>
      <c r="AO14" s="1257">
        <f t="shared" si="1"/>
        <v>0</v>
      </c>
      <c r="AP14" s="1262">
        <f>IF(ISNUMBER(((Datos!L14/Datos!K14)*11)/factor_trimestre),((Datos!L14/Datos!K14)*11)/factor_trimestre," - ")</f>
        <v>6.6743515850144099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-0.88888888888888884</v>
      </c>
      <c r="AU14" s="1257" t="str">
        <f>IF(ISNUMBER((DatosP!#REF!-DatosP!#REF!+DatosP!#REF!)/(DatosP!#REF!+DatosP!#REF!-DatosP!#REF!-DatosP!#REF!)),(DatosP!#REF!-DatosP!#REF!+DatosP!#REF!)/(DatosP!#REF!+DatosP!#REF!-DatosP!#REF!-DatosP!#REF!)," - ")</f>
        <v xml:space="preserve"> - </v>
      </c>
      <c r="AV14" s="1263">
        <f>SUBTOTAL(9,AV9:AV13)</f>
        <v>3.4705882352941177E-2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2.9745403111739748</v>
      </c>
      <c r="AQ23" s="1262">
        <f>IF(ISNUMBER(((Datos!M23/Datos!L23)*11)/factor_trimestre),((Datos!M23/Datos!L23)*11)/factor_trimestre," - ")</f>
        <v>0.35520684736091301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-3.8834951456310676E-2</v>
      </c>
      <c r="AW23" s="1265">
        <f>IF(ISNUMBER((Datos!Q23-Datos!R23)/(Datos!S23-Datos!Q23+Datos!R23)),(Datos!Q23-Datos!R23)/(Datos!S23-Datos!Q23+Datos!R23)," - ")</f>
        <v>-7.7504725897920609E-2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50</v>
      </c>
      <c r="AE31" s="1284">
        <f t="shared" si="9"/>
        <v>0</v>
      </c>
      <c r="AF31" s="1285">
        <f t="shared" si="9"/>
        <v>6</v>
      </c>
      <c r="AG31" s="1285">
        <f t="shared" si="9"/>
        <v>0</v>
      </c>
      <c r="AH31" s="1285">
        <f t="shared" si="9"/>
        <v>1759</v>
      </c>
      <c r="AI31" s="1285">
        <f t="shared" si="9"/>
        <v>0</v>
      </c>
      <c r="AJ31" s="1286">
        <f t="shared" si="9"/>
        <v>0</v>
      </c>
      <c r="AK31" s="1286">
        <f t="shared" si="9"/>
        <v>0</v>
      </c>
      <c r="AL31" s="1278">
        <f t="shared" si="9"/>
        <v>102</v>
      </c>
      <c r="AM31" s="1278">
        <f t="shared" si="9"/>
        <v>130</v>
      </c>
      <c r="AN31" s="1278">
        <f t="shared" si="9"/>
        <v>0</v>
      </c>
      <c r="AO31" s="1278">
        <f t="shared" si="9"/>
        <v>0</v>
      </c>
      <c r="AP31" s="1278">
        <f>IF(ISNUMBER(((Datos!L31/Datos!K31)*11)/factor_trimestre),((Datos!L31/Datos!K31)*11)/factor_trimestre," - ")</f>
        <v>4.1925996204933584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-0.88888888888888884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3.048780487804878E-2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51.53251400814829</v>
      </c>
      <c r="AM33" s="1006"/>
      <c r="AN33" s="1006">
        <f>IF(ISNUMBER(STDEV(AN8:AN30)),STDEV(AN8:AN30),"-")</f>
        <v>0</v>
      </c>
      <c r="AO33" s="1012">
        <f>IF(ISNUMBER(STDEV(AO8:AO30)),STDEV(AO8:AO30),"-")</f>
        <v>0</v>
      </c>
      <c r="AP33" s="1065">
        <f>IF(ISNUMBER(STDEV(AP8:AP30)),STDEV(AP8:AP30),"-")</f>
        <v>2.3669453055853182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Ogyyi4pcTMnMOzp7NkVxs2/HSWbX/6VYK1avnAzkZFm5ouzRifzqI6UEToPnTKkqsMGJmA3HlU8pw91vGYi2w==" saltValue="Ip1IUN943lNtgphur2a2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ZAFRA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stCQB1gDEUrOMQRSo0pcnLFOAq3dZN0GNzUPt2Jfpf5gFAESBwg/6f5Rt4nVji99lxvfru9XDBwTrEC1Vjihw==" saltValue="infbNcmQYyZPdbjyUxHc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ZAFRA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99</v>
      </c>
      <c r="E12" s="452">
        <f t="shared" si="0"/>
        <v>49.5</v>
      </c>
      <c r="F12" s="451">
        <f>IF(ISNUMBER(Datos!N12),Datos!N12," - ")</f>
        <v>129</v>
      </c>
      <c r="G12" s="452">
        <f t="shared" si="1"/>
        <v>64.5</v>
      </c>
      <c r="H12" s="451">
        <f>IF(ISNUMBER(Datos!O12),Datos!O12," - ")</f>
        <v>157</v>
      </c>
      <c r="I12" s="452">
        <f t="shared" si="2"/>
        <v>78.5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102</v>
      </c>
      <c r="E14" s="1147">
        <f t="shared" si="0"/>
        <v>34</v>
      </c>
      <c r="F14" s="1146">
        <f>SUBTOTAL(9,F9:F13)</f>
        <v>130</v>
      </c>
      <c r="G14" s="1147">
        <f t="shared" si="1"/>
        <v>43.333333333333336</v>
      </c>
      <c r="H14" s="1146">
        <f>SUBTOTAL(9,H9:H13)</f>
        <v>157</v>
      </c>
      <c r="I14" s="1147">
        <f>IF(ISNUMBER(H14/B14),H14/B14," - ")</f>
        <v>52.333333333333336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77</v>
      </c>
      <c r="E17" s="452">
        <f t="shared" si="3"/>
        <v>38.5</v>
      </c>
      <c r="F17" s="451">
        <f>IF(ISNUMBER(Datos!N17),Datos!N17," - ")</f>
        <v>490</v>
      </c>
      <c r="G17" s="452">
        <f t="shared" si="4"/>
        <v>245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83</v>
      </c>
      <c r="E23" s="1147">
        <f t="shared" si="3"/>
        <v>27.666666666666668</v>
      </c>
      <c r="F23" s="1146">
        <f>SUBTOTAL(9,F16:F22)</f>
        <v>503</v>
      </c>
      <c r="G23" s="1147">
        <f t="shared" si="4"/>
        <v>167.66666666666666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185</v>
      </c>
      <c r="E31" s="1085">
        <f>IF(ISNUMBER(D31/B31),D31/B31," - ")</f>
        <v>92.5</v>
      </c>
      <c r="F31" s="1084">
        <f>SUBTOTAL(9,F8:F30)</f>
        <v>633</v>
      </c>
      <c r="G31" s="1085">
        <f>IF(ISNUMBER(F31/B31),F31/B31," - ")</f>
        <v>316.5</v>
      </c>
      <c r="H31" s="1084">
        <f>SUBTOTAL(9,H8:H30)</f>
        <v>157</v>
      </c>
      <c r="I31" s="1085">
        <f>IF(ISNUMBER(H31/B31),H31/B31," - ")</f>
        <v>78.5</v>
      </c>
    </row>
    <row r="34" spans="1:1">
      <c r="A34" s="439" t="str">
        <f>Criterios!A4</f>
        <v>Fecha Informe: 05 may. 2023</v>
      </c>
    </row>
    <row r="39" spans="1:1">
      <c r="A39" s="462"/>
    </row>
  </sheetData>
  <sheetProtection algorithmName="SHA-512" hashValue="OmmOdNOFcDPXr9tx9qvMehGDxEyj5yqFt2qse3cQLjVeOJKCUcE52/Acd0mJ1x+8RqYL12M8lp2H+fSBWivBUw==" saltValue="rd5YRlPpRmbiLsgxy2g8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ZAFRA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v>
      </c>
      <c r="C12" s="489">
        <f>IF(ISNUMBER(Datos!Q12),Datos!Q12," - ")</f>
        <v>50</v>
      </c>
      <c r="D12" s="456">
        <f>IF(ISNUMBER(Datos!R12),Datos!R12," - ")</f>
        <v>1759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50</v>
      </c>
      <c r="D14" s="1148">
        <f>SUBTOTAL(9,D9:D13)</f>
        <v>1760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17</v>
      </c>
      <c r="D17" s="456">
        <f>IF(ISNUMBER(Datos!R17),Datos!R17," - ")</f>
        <v>98</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17</v>
      </c>
      <c r="D23" s="1148">
        <f>SUBTOTAL(9,D16:D22)</f>
        <v>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122</v>
      </c>
      <c r="C31" s="1089">
        <f>SUBTOTAL(9,C8:C30)</f>
        <v>67</v>
      </c>
      <c r="D31" s="1090">
        <f>SUBTOTAL(9,D8:D30)</f>
        <v>1859</v>
      </c>
    </row>
    <row r="32" spans="1:4" ht="7.5" customHeight="1"/>
    <row r="33" spans="1:1" ht="6" customHeight="1"/>
    <row r="34" spans="1:1">
      <c r="A34" s="439" t="str">
        <f>Criterios!A4</f>
        <v>Fecha Informe: 05 may. 2023</v>
      </c>
    </row>
    <row r="39" spans="1:1">
      <c r="A39" s="462"/>
    </row>
  </sheetData>
  <sheetProtection algorithmName="SHA-512" hashValue="0rkTBc23KHZ4ovXo151xLL+FonfZNqekzskM/XkxvnFkBLN7Js8EZTxQcbHwW/L5tyxWKOZxmugZ1atb4mzvuQ==" saltValue="q2WrJZPd8o83wLJeZEMH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ZAFRA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1.5</v>
      </c>
      <c r="D10" s="515">
        <f>IF(ISNUMBER((Datos!K10-Datos!U10)/Datos!U10),(Datos!K10-Datos!U10)/Datos!U10," - ")</f>
        <v>7</v>
      </c>
      <c r="E10" s="515">
        <f>IF(ISNUMBER((Datos!L10-Datos!V10)/Datos!V10),(Datos!L10-Datos!V10)/Datos!V10," - ")</f>
        <v>-0.45454545454545453</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2.2000000000000002</v>
      </c>
      <c r="I10" s="515">
        <f>IF(ISNUMBER(((NºAsuntos!I10/NºAsuntos!G10)-Datos!BE10)/Datos!BE10),((NºAsuntos!I10/NºAsuntos!G10)-Datos!BE10)/Datos!BE10," - ")</f>
        <v>-0.93181818181818177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-0.85416666666666663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-0.27380952380952384</v>
      </c>
      <c r="C12" s="515">
        <f>IF(ISNUMBER(
   IF(J_V="SI",(Datos!J12-Datos!T12)/Datos!T12,(Datos!J12+Datos!Z12-(Datos!T12+Datos!AH12))/(Datos!T12+Datos!AH12))
     ),IF(J_V="SI",(Datos!J12-Datos!T12)/Datos!T12,(Datos!J12+Datos!Z12-(Datos!T12+Datos!AH12))/(Datos!T12+Datos!AH12))," - ")</f>
        <v>-2.1390374331550801E-2</v>
      </c>
      <c r="D12" s="515">
        <f>IF(ISNUMBER(
   IF(J_V="SI",(Datos!K12-Datos!U12)/Datos!U12,(Datos!K12+Datos!AA12-(Datos!U12+Datos!AI12))/(Datos!U12+Datos!AI12))
     ),IF(J_V="SI",(Datos!K12-Datos!U12)/Datos!U12,(Datos!K12+Datos!AA12-(Datos!U12+Datos!AI12))/(Datos!U12+Datos!AI12))," - ")</f>
        <v>-0.16898148148148148</v>
      </c>
      <c r="E12" s="515">
        <f>IF(ISNUMBER(
   IF(J_V="SI",(Datos!L12-Datos!V12)/Datos!V12,(Datos!L12+Datos!AB12-(Datos!V12+Datos!AJ12))/(Datos!V12+Datos!AJ12))
     ),IF(J_V="SI",(Datos!L12-Datos!V12)/Datos!V12,(Datos!L12+Datos!AB12-(Datos!V12+Datos!AJ12))/(Datos!V12+Datos!AJ12))," - ")</f>
        <v>-0.22178988326848248</v>
      </c>
      <c r="F12" s="515">
        <f>IF(ISNUMBER((Datos!M12-Datos!W12)/Datos!W12),(Datos!M12-Datos!W12)/Datos!W12," - ")</f>
        <v>1.020408163265306E-2</v>
      </c>
      <c r="G12" s="516">
        <f>IF(ISNUMBER((Datos!N12-Datos!X12)/Datos!X12),(Datos!N12-Datos!X12)/Datos!X12," - ")</f>
        <v>-0.25862068965517243</v>
      </c>
      <c r="H12" s="514">
        <f>IF(ISNUMBER(((NºAsuntos!G12/NºAsuntos!E12)-Datos!BD12)/Datos!BD12),((NºAsuntos!G12/NºAsuntos!E12)-Datos!BD12)/Datos!BD12," - ")</f>
        <v>-0.1508171422788909</v>
      </c>
      <c r="I12" s="515">
        <f>IF(ISNUMBER(((NºAsuntos!I12/NºAsuntos!G12)-Datos!BE12)/Datos!BE12),((NºAsuntos!I12/NºAsuntos!G12)-Datos!BE12)/Datos!BE12," - ")</f>
        <v>-6.3546600479065282E-2</v>
      </c>
      <c r="J12" s="521">
        <f>IF(ISNUMBER((('Resol  Asuntos'!D12/NºAsuntos!G12)-Datos!BF12)/Datos!BF12),(('Resol  Asuntos'!D12/NºAsuntos!G12)-Datos!BF12)/Datos!BF12," - ")</f>
        <v>-0.31533954471232351</v>
      </c>
      <c r="K12" s="522">
        <f>IF(ISNUMBER((((NºAsuntos!C12+NºAsuntos!E12)/NºAsuntos!G12)-Datos!BG12)/Datos!BG12),(((NºAsuntos!C12+NºAsuntos!E12)/NºAsuntos!G12)-Datos!BG12)/Datos!BG12," - ")</f>
        <v>-4.8653414251349995E-2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-0.27223230490018147</v>
      </c>
      <c r="C14" s="1152">
        <f>IF(ISNUMBER(
   IF(J_V="SI",(Datos!J14-Datos!T14)/Datos!T14,(Datos!J14+Datos!Z14-(Datos!T14+Datos!AH14))/(Datos!T14+Datos!AH14))
     ),IF(J_V="SI",(Datos!J14-Datos!T14)/Datos!T14,(Datos!J14+Datos!Z14-(Datos!T14+Datos!AH14))/(Datos!T14+Datos!AH14))," - ")</f>
        <v>-1.3297872340425532E-2</v>
      </c>
      <c r="D14" s="1152">
        <f>IF(ISNUMBER(
   IF(J_V="SI",(Datos!K14-Datos!U14)/Datos!U14,(Datos!K14+Datos!AA14-(Datos!U14+Datos!AI14))/(Datos!U14+Datos!AI14))
     ),IF(J_V="SI",(Datos!K14-Datos!U14)/Datos!U14,(Datos!K14+Datos!AA14-(Datos!U14+Datos!AI14))/(Datos!U14+Datos!AI14))," - ")</f>
        <v>-0.15242494226327943</v>
      </c>
      <c r="E14" s="1152">
        <f>IF(ISNUMBER(
   IF(J_V="SI",(Datos!L14-Datos!V14)/Datos!V14,(Datos!L14+Datos!AB14-(Datos!V14+Datos!AJ14))/(Datos!V14+Datos!AJ14))
     ),IF(J_V="SI",(Datos!L14-Datos!V14)/Datos!V14,(Datos!L14+Datos!AB14-(Datos!V14+Datos!AJ14))/(Datos!V14+Datos!AJ14))," - ")</f>
        <v>-0.22425409047160733</v>
      </c>
      <c r="F14" s="1153">
        <f>IF(ISNUMBER((Datos!M14-Datos!W14)/Datos!W14),(Datos!M14-Datos!W14)/Datos!W14," - ")</f>
        <v>4.0816326530612242E-2</v>
      </c>
      <c r="G14" s="1154">
        <f>IF(ISNUMBER((Datos!N14-Datos!X14)/Datos!X14),(Datos!N14-Datos!X14)/Datos!X14," - ")</f>
        <v>-0.25714285714285712</v>
      </c>
      <c r="H14" s="1154">
        <f>IF(ISNUMBER(((NºAsuntos!G14/NºAsuntos!E14)-Datos!BD14)/Datos!BD14),((NºAsuntos!G14/NºAsuntos!E14)-Datos!BD14)/Datos!BD14," - ")</f>
        <v>-0.14100209781938836</v>
      </c>
      <c r="I14" s="1154">
        <f>IF(ISNUMBER(((NºAsuntos!I14/NºAsuntos!G14)-Datos!BE14)/Datos!BE14),((NºAsuntos!I14/NºAsuntos!G14)-Datos!BE14)/Datos!BE14," - ")</f>
        <v>-8.47466517008338E-2</v>
      </c>
      <c r="J14" s="1154">
        <f>IF(ISNUMBER((('Resol  Asuntos'!D14/NºAsuntos!G14)-Datos!BF14)/Datos!BF14),(('Resol  Asuntos'!D14/NºAsuntos!G14)-Datos!BF14)/Datos!BF14," - ")</f>
        <v>-0.30837169970872874</v>
      </c>
      <c r="K14" s="1154">
        <f>IF(ISNUMBER((((NºAsuntos!C14+NºAsuntos!E14)/NºAsuntos!G14)-Datos!BG14)/Datos!BG14),(((NºAsuntos!C14+NºAsuntos!E14)/NºAsuntos!G14)-Datos!BG14)/Datos!BG14," - ")</f>
        <v>-6.3634486547473834E-2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-0.32872340425531915</v>
      </c>
      <c r="C17" s="515">
        <f>IF(ISNUMBER(
   IF(D_I="SI",(Datos!J17-Datos!T17)/Datos!T17,(Datos!J17+Datos!AD17-(Datos!T17+Datos!AL17))/(Datos!T17+Datos!AL17))
     ),IF(D_I="SI",(Datos!J17-Datos!T17)/Datos!T17,(Datos!J17+Datos!AD17-(Datos!T17+Datos!AL17))/(Datos!T17+Datos!AL17))," - ")</f>
        <v>0.32450331125827814</v>
      </c>
      <c r="D17" s="515">
        <f>IF(ISNUMBER(
   IF(D_I="SI",(Datos!K17-Datos!U17)/Datos!U17,(Datos!K17+Datos!AE17-(Datos!U17+Datos!AM17))/(Datos!U17+Datos!AM17))
     ),IF(D_I="SI",(Datos!K17-Datos!U17)/Datos!U17,(Datos!K17+Datos!AE17-(Datos!U17+Datos!AM17))/(Datos!U17+Datos!AM17))," - ")</f>
        <v>0.37246963562753038</v>
      </c>
      <c r="E17" s="515">
        <f>IF(ISNUMBER(
   IF(D_I="SI",(Datos!L17-Datos!V17)/Datos!V17,(Datos!L17+Datos!AF17-(Datos!V17+Datos!AN17))/(Datos!V17+Datos!AN17))
     ),IF(D_I="SI",(Datos!L17-Datos!V17)/Datos!V17,(Datos!L17+Datos!AF17-(Datos!V17+Datos!AN17))/(Datos!V17+Datos!AN17))," - ")</f>
        <v>-0.25472747497219134</v>
      </c>
      <c r="F17" s="515">
        <f>IF(ISNUMBER((Datos!M17-Datos!W17)/Datos!W17),(Datos!M17-Datos!W17)/Datos!W17," - ")</f>
        <v>0.48076923076923078</v>
      </c>
      <c r="G17" s="516">
        <f>IF(ISNUMBER((Datos!N17-Datos!X17)/Datos!X17),(Datos!N17-Datos!X17)/Datos!X17," - ")</f>
        <v>0.4040114613180516</v>
      </c>
      <c r="H17" s="514">
        <f>IF(ISNUMBER(((NºAsuntos!G17/NºAsuntos!E17)-Datos!BD17)/Datos!BD17),((NºAsuntos!G17/NºAsuntos!E17)-Datos!BD17)/Datos!BD17," - ")</f>
        <v>3.6214574898785309E-2</v>
      </c>
      <c r="I17" s="515">
        <f>IF(ISNUMBER(((NºAsuntos!I17/NºAsuntos!G17)-Datos!BE17)/Datos!BE17),((NºAsuntos!I17/NºAsuntos!G17)-Datos!BE17)/Datos!BE17," - ")</f>
        <v>-0.45698432542221612</v>
      </c>
      <c r="J17" s="521">
        <f>IF(ISNUMBER((('Resol  Asuntos'!D17/NºAsuntos!G17)-Datos!BF17)/Datos!BF17),(('Resol  Asuntos'!D17/NºAsuntos!G17)-Datos!BF17)/Datos!BF17," - ")</f>
        <v>7.89085545722715E-2</v>
      </c>
      <c r="K17" s="522">
        <f>IF(ISNUMBER((((NºAsuntos!C17+NºAsuntos!E17)/NºAsuntos!G17)-Datos!BG17)/Datos!BG17),(((NºAsuntos!C17+NºAsuntos!E17)/NºAsuntos!G17)-Datos!BG17)/Datos!BG17," - ")</f>
        <v>-0.35612110277472486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-8.3333333333333329E-2</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0.70588235294117652</v>
      </c>
      <c r="E18" s="515">
        <f>IF(ISNUMBER(
   IF(D_I="SI",(Datos!L18-Datos!V18)/Datos!V18,(Datos!L18+Datos!AF18-(Datos!V18+Datos!AN18))/(Datos!V18+Datos!AN18))
     ),IF(D_I="SI",(Datos!L18-Datos!V18)/Datos!V18,(Datos!L18+Datos!AF18-(Datos!V18+Datos!AN18))/(Datos!V18+Datos!AN18))," - ")</f>
        <v>-8.8235294117647065E-2</v>
      </c>
      <c r="F18" s="515">
        <f>IF(ISNUMBER((Datos!M18-Datos!W18)/Datos!W18),(Datos!M18-Datos!W18)/Datos!W18," - ")</f>
        <v>2</v>
      </c>
      <c r="G18" s="516">
        <f>IF(ISNUMBER((Datos!N18-Datos!X18)/Datos!X18),(Datos!N18-Datos!X18)/Datos!X18," - ")</f>
        <v>0</v>
      </c>
      <c r="H18" s="514">
        <f>IF(ISNUMBER(((NºAsuntos!G18/NºAsuntos!E18)-Datos!BD18)/Datos!BD18),((NºAsuntos!G18/NºAsuntos!E18)-Datos!BD18)/Datos!BD18," - ")</f>
        <v>-5.2287581699346289E-2</v>
      </c>
      <c r="I18" s="515">
        <f>IF(ISNUMBER(((NºAsuntos!I18/NºAsuntos!G18)-Datos!BE18)/Datos!BE18),((NºAsuntos!I18/NºAsuntos!G18)-Datos!BE18)/Datos!BE18," - ")</f>
        <v>-0.46551724137931039</v>
      </c>
      <c r="J18" s="521">
        <f>IF(ISNUMBER((('Resol  Asuntos'!D18/NºAsuntos!G18)-Datos!BF18)/Datos!BF18),(('Resol  Asuntos'!D18/NºAsuntos!G18)-Datos!BF18)/Datos!BF18," - ")</f>
        <v>0.75862068965517238</v>
      </c>
      <c r="K18" s="522">
        <f>IF(ISNUMBER((((NºAsuntos!C18+NºAsuntos!E18)/NºAsuntos!G18)-Datos!BG18)/Datos!BG18),(((NºAsuntos!C18+NºAsuntos!E18)/NºAsuntos!G18)-Datos!BG18)/Datos!BG18," - ")</f>
        <v>-0.31034482758620685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-0.31967213114754101</v>
      </c>
      <c r="C23" s="1152">
        <f>IF(ISNUMBER(
   IF(Criterios!B14="SI",(Datos!J23-Datos!T23)/Datos!T23,(Datos!J23+Datos!AD23-(Datos!T23+Datos!AL23))/(Datos!T23+Datos!AL23))
     ),IF(Criterios!B14="SI",(Datos!J23-Datos!T23)/Datos!T23,(Datos!J23+Datos!AD23-(Datos!T23+Datos!AL23))/(Datos!T23+Datos!AL23))," - ")</f>
        <v>0.33974358974358976</v>
      </c>
      <c r="D23" s="1152">
        <f>IF(ISNUMBER(
   IF(Criterios!B14="SI",(Datos!K23-Datos!U23)/Datos!U23,(Datos!K23+Datos!AE23-(Datos!U23+Datos!AM23))/(Datos!U23+Datos!AM23))
     ),IF(Criterios!B14="SI",(Datos!K23-Datos!U23)/Datos!U23,(Datos!K23+Datos!AE23-(Datos!U23+Datos!AM23))/(Datos!U23+Datos!AM23))," - ")</f>
        <v>0.38356164383561642</v>
      </c>
      <c r="E23" s="1152">
        <f>IF(ISNUMBER(
   IF(Criterios!B14="SI",(Datos!L23-Datos!V23)/Datos!V23,(Datos!L23+Datos!AF23-(Datos!V23+Datos!AN23))/(Datos!V23+Datos!AN23))
     ),IF(Criterios!B14="SI",(Datos!L23-Datos!V23)/Datos!V23,(Datos!L23+Datos!AF23-(Datos!V23+Datos!AN23))/(Datos!V23+Datos!AN23))," - ")</f>
        <v>-0.24866023579849947</v>
      </c>
      <c r="F23" s="1153">
        <f>IF(ISNUMBER((Datos!M23-Datos!W23)/Datos!W23),(Datos!M23-Datos!W23)/Datos!W23," - ")</f>
        <v>0.53703703703703709</v>
      </c>
      <c r="G23" s="1154">
        <f>IF(ISNUMBER((Datos!N23-Datos!X23)/Datos!X23),(Datos!N23-Datos!X23)/Datos!X23," - ")</f>
        <v>0.38950276243093923</v>
      </c>
      <c r="H23" s="1154">
        <f>IF(ISNUMBER(((NºAsuntos!G23/NºAsuntos!E23)-Datos!BD23)/Datos!BD23),((NºAsuntos!G23/NºAsuntos!E23)-Datos!BD23)/Datos!BD23," - ")</f>
        <v>3.2706298748115786E-2</v>
      </c>
      <c r="I23" s="1154">
        <f>IF(ISNUMBER(((NºAsuntos!I23/NºAsuntos!G23)-Datos!BE23)/Datos!BE23),((NºAsuntos!I23/NºAsuntos!G23)-Datos!BE23)/Datos!BE23," - ")</f>
        <v>-0.45695244765634119</v>
      </c>
      <c r="J23" s="1154">
        <f>IF(ISNUMBER((('Resol  Asuntos'!D23/NºAsuntos!G23)-Datos!BF23)/Datos!BF23),(('Resol  Asuntos'!D23/NºAsuntos!G23)-Datos!BF23)/Datos!BF23," - ")</f>
        <v>0.110927759442611</v>
      </c>
      <c r="K23" s="1154">
        <f>IF(ISNUMBER((((NºAsuntos!C23+NºAsuntos!E23)/NºAsuntos!G23)-Datos!BG23)/Datos!BG23),(((NºAsuntos!C23+NºAsuntos!E23)/NºAsuntos!G23)-Datos!BG23)/Datos!BG23," - ")</f>
        <v>-0.35380954993006225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-0.29451395572666023</v>
      </c>
      <c r="C31" s="1092">
        <f>IF(ISNUMBER(
   IF(J_V="SI",(Datos!J31-Datos!T31)/Datos!T31,(Datos!J31+Datos!Z31-(Datos!T31+Datos!AH31))/(Datos!T31+Datos!AH31))
     ),IF(J_V="SI",(Datos!J31-Datos!T31)/Datos!T31,(Datos!J31+Datos!Z31-(Datos!T31+Datos!AH31))/(Datos!T31+Datos!AH31))," - ")</f>
        <v>0.18246445497630331</v>
      </c>
      <c r="D31" s="1092">
        <f>IF(ISNUMBER(
   IF(J_V="SI",(Datos!K31-Datos!U31)/Datos!U31,(Datos!K31+Datos!AA31-(Datos!U31+Datos!AI31))/(Datos!U31+Datos!AI31))
     ),IF(J_V="SI",(Datos!K31-Datos!U31)/Datos!U31,(Datos!K31+Datos!AA31-(Datos!U31+Datos!AI31))/(Datos!U31+Datos!AI31))," - ")</f>
        <v>0.13771186440677965</v>
      </c>
      <c r="E31" s="1092">
        <f>IF(ISNUMBER(
   IF(J_V="SI",(Datos!L31-Datos!V31)/Datos!V31,(Datos!L31+Datos!AB31-(Datos!V31+Datos!AJ31))/(Datos!V31+Datos!AJ31))
     ),IF(J_V="SI",(Datos!L31-Datos!V31)/Datos!V31,(Datos!L31+Datos!AB31-(Datos!V31+Datos!AJ31))/(Datos!V31+Datos!AJ31))," - ")</f>
        <v>-0.23580121703853954</v>
      </c>
      <c r="F31" s="1093">
        <f>IF(ISNUMBER((Datos!M31-Datos!W31)/Datos!W31),(Datos!M31-Datos!W31)/Datos!W31," - ")</f>
        <v>0.21710526315789475</v>
      </c>
      <c r="G31" s="1094">
        <f>IF(ISNUMBER((Datos!N31-Datos!X31)/Datos!X31),(Datos!N31-Datos!X31)/Datos!X31," - ")</f>
        <v>0.1787709497206704</v>
      </c>
      <c r="H31" s="1095">
        <f>IF(ISNUMBER((Tasas!B31-Datos!BD31)/Datos!BD31),(Tasas!B31-Datos!BD31)/Datos!BD31," - ")</f>
        <v>-3.7846880201080062E-2</v>
      </c>
      <c r="I31" s="1096">
        <f>IF(ISNUMBER((Tasas!C31-Datos!BE31)/Datos!BE31),(Tasas!C31-Datos!BE31)/Datos!BE31," - ")</f>
        <v>-0.32830200082344624</v>
      </c>
      <c r="J31" s="1097">
        <f>IF(ISNUMBER((Tasas!D31-Datos!BF31)/Datos!BF31),(Tasas!D31-Datos!BF31)/Datos!BF31," - ")</f>
        <v>-0.28681106863994243</v>
      </c>
      <c r="K31" s="1097">
        <f>IF(ISNUMBER((Tasas!E31-Datos!BG31)/Datos!BG31),(Tasas!E31-Datos!BG31)/Datos!BG31," - ")</f>
        <v>-0.25881229789550031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sSyoNlS90tJBxgK3yEdbIh+K2Drsjn8clqOfK/DBFbNgTSV+jfvx8nKHWMQW38WIpj2SrtL6r+mHelGmWK3VA==" saltValue="qO2FwU6zpNk0jOFrRLSh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ZAFRA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v>
      </c>
      <c r="C10" s="498">
        <f>IF(ISNUMBER(NºAsuntos!I10/NºAsuntos!G10),NºAsuntos!I10/NºAsuntos!G10," - ")</f>
        <v>0.75</v>
      </c>
      <c r="D10" s="499">
        <f>IF(ISNUMBER('Resol  Asuntos'!D10/NºAsuntos!G10),'Resol  Asuntos'!D10/NºAsuntos!G10," - ")</f>
        <v>0.375</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0.98087431693989069</v>
      </c>
      <c r="C12" s="498">
        <f>IF(ISNUMBER(NºAsuntos!I12/NºAsuntos!G12),NºAsuntos!I12/NºAsuntos!G12," - ")</f>
        <v>2.2284122562674096</v>
      </c>
      <c r="D12" s="499">
        <f>IF(ISNUMBER('Resol  Asuntos'!D12/NºAsuntos!G12),'Resol  Asuntos'!D12/NºAsuntos!G12," - ")</f>
        <v>0.27576601671309192</v>
      </c>
      <c r="E12" s="500">
        <f>IF(ISNUMBER((NºAsuntos!C12+NºAsuntos!E12)/NºAsuntos!G12),(NºAsuntos!C12+NºAsuntos!E12)/NºAsuntos!G12," - ")</f>
        <v>3.2284122562674096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0.98921832884097038</v>
      </c>
      <c r="C14" s="1156">
        <f>IF(ISNUMBER(NºAsuntos!I14/NºAsuntos!G14),NºAsuntos!I14/NºAsuntos!G14," - ")</f>
        <v>2.196185286103542</v>
      </c>
      <c r="D14" s="1157">
        <f>IF(ISNUMBER('Resol  Asuntos'!D14/NºAsuntos!G14),'Resol  Asuntos'!D14/NºAsuntos!G14," - ")</f>
        <v>0.27792915531335149</v>
      </c>
      <c r="E14" s="1158">
        <f>IF(ISNUMBER((NºAsuntos!C14+NºAsuntos!E14)/NºAsuntos!G14),(NºAsuntos!C14+NºAsuntos!E14)/NºAsuntos!G14," - ")</f>
        <v>3.196185286103542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1.1299999999999999</v>
      </c>
      <c r="C17" s="498">
        <f>IF(ISNUMBER(NºAsuntos!I17/NºAsuntos!G17),NºAsuntos!I17/NºAsuntos!G17," - ")</f>
        <v>0.98820058997050142</v>
      </c>
      <c r="D17" s="499">
        <f>IF(ISNUMBER('Resol  Asuntos'!D17/NºAsuntos!G17),'Resol  Asuntos'!D17/NºAsuntos!G17," - ")</f>
        <v>0.11356932153392331</v>
      </c>
      <c r="E17" s="500">
        <f>IF(ISNUMBER((NºAsuntos!C17+NºAsuntos!E17)/NºAsuntos!G17),(NºAsuntos!C17+NºAsuntos!E17)/NºAsuntos!G17," - ")</f>
        <v>1.8156342182890854</v>
      </c>
      <c r="G17" s="523"/>
    </row>
    <row r="18" spans="1:7">
      <c r="A18" s="450" t="str">
        <f>Datos!A18</f>
        <v>Jdos. Violencia contra la mujer</v>
      </c>
      <c r="B18" s="497">
        <f>IF(ISNUMBER(NºAsuntos!G18/NºAsuntos!E18),NºAsuntos!G18/NºAsuntos!E18," - ")</f>
        <v>1.0740740740740742</v>
      </c>
      <c r="C18" s="498">
        <f>IF(ISNUMBER(NºAsuntos!I18/NºAsuntos!G18),NºAsuntos!I18/NºAsuntos!G18," - ")</f>
        <v>1.0689655172413792</v>
      </c>
      <c r="D18" s="499">
        <f>IF(ISNUMBER('Resol  Asuntos'!D18/NºAsuntos!G18),'Resol  Asuntos'!D18/NºAsuntos!G18," - ")</f>
        <v>0.20689655172413793</v>
      </c>
      <c r="E18" s="500">
        <f>IF(ISNUMBER((NºAsuntos!C18+NºAsuntos!E18)/NºAsuntos!G18),(NºAsuntos!C18+NºAsuntos!E18)/NºAsuntos!G18," - ")</f>
        <v>2.0689655172413794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1.127591706539075</v>
      </c>
      <c r="C23" s="1156">
        <f>IF(ISNUMBER(NºAsuntos!I23/NºAsuntos!G23),NºAsuntos!I23/NºAsuntos!G23," - ")</f>
        <v>0.99151343705799155</v>
      </c>
      <c r="D23" s="1159">
        <f>IF(ISNUMBER('Resol  Asuntos'!D23/NºAsuntos!G23),'Resol  Asuntos'!D23/NºAsuntos!G23," - ")</f>
        <v>0.1173974540311174</v>
      </c>
      <c r="E23" s="1158">
        <f>IF(ISNUMBER((NºAsuntos!C23+NºAsuntos!E23)/NºAsuntos!G23),(NºAsuntos!C23+NºAsuntos!E23)/NºAsuntos!G23," - ")</f>
        <v>1.8260254596888261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1.0761523046092185</v>
      </c>
      <c r="C31" s="1099">
        <f>IF(ISNUMBER(NºAsuntos!I31/NºAsuntos!G31),NºAsuntos!I31/NºAsuntos!G31," - ")</f>
        <v>1.4031657355679703</v>
      </c>
      <c r="D31" s="1100">
        <f>IF(ISNUMBER('Resol  Asuntos'!D31/NºAsuntos!G31),'Resol  Asuntos'!D31/NºAsuntos!G31," - ")</f>
        <v>0.17225325884543763</v>
      </c>
      <c r="E31" s="1101">
        <f>IF(ISNUMBER((NºAsuntos!C31+NºAsuntos!E31)/NºAsuntos!G31),(NºAsuntos!C31+NºAsuntos!E31)/NºAsuntos!G31," - ")</f>
        <v>2.2942271880819365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eYUUrOtUBavl1MufX7S4LCrRejNwVzYca9kFvWeXb7fyH6Tru1TVtqO7ePa8rNcOMy8XtNgyLrmUSKeKfe4jA==" saltValue="g7j6/DyzjFV2E5u+X4Ch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ZAFRA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v>
      </c>
      <c r="AM10" s="284">
        <f>IF(ISNUMBER(((NºAsuntos!I10/NºAsuntos!G10)*11)/factor_trimestre),((NºAsuntos!I10/NºAsuntos!G10)*11)/factor_trimestre," - ")</f>
        <v>2.25</v>
      </c>
      <c r="AN10" s="267">
        <f>IF(ISNUMBER('Resol  Asuntos'!D10/NºAsuntos!G10),'Resol  Asuntos'!D10/NºAsuntos!G10," - ")</f>
        <v>0.375</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v>
      </c>
      <c r="AJ12" s="243" t="str">
        <f>IF(ISNUMBER(Datos!BW12),Datos!BW12," - ")</f>
        <v xml:space="preserve"> - </v>
      </c>
      <c r="AK12" s="242" t="str">
        <f>IF(ISNUMBER(Datos!BX12),Datos!BX12," - ")</f>
        <v xml:space="preserve"> - </v>
      </c>
      <c r="AL12" s="266">
        <f>IF(ISNUMBER(NºAsuntos!G12/NºAsuntos!E12),NºAsuntos!G12/NºAsuntos!E12," - ")</f>
        <v>0.98087431693989069</v>
      </c>
      <c r="AM12" s="284">
        <f>IF(ISNUMBER(((NºAsuntos!I12/NºAsuntos!G12)*11)/factor_trimestre),((NºAsuntos!I12/NºAsuntos!G12)*11)/factor_trimestre," - ")</f>
        <v>6.6852367688022287</v>
      </c>
      <c r="AN12" s="267">
        <f>IF(ISNUMBER('Resol  Asuntos'!D12/NºAsuntos!G12),'Resol  Asuntos'!D12/NºAsuntos!G12," - ")</f>
        <v>0.27576601671309192</v>
      </c>
      <c r="AO12" s="268">
        <f>IF(ISNUMBER((NºAsuntos!C12+NºAsuntos!E12)/NºAsuntos!G12),(NºAsuntos!C12+NºAsuntos!E12)/NºAsuntos!G12," - ")</f>
        <v>3.2284122562674096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50</v>
      </c>
      <c r="Y14" s="1165">
        <f t="shared" si="6"/>
        <v>58</v>
      </c>
      <c r="Z14" s="1165">
        <f t="shared" si="6"/>
        <v>0</v>
      </c>
      <c r="AA14" s="1165">
        <f t="shared" si="6"/>
        <v>6</v>
      </c>
      <c r="AB14" s="1165">
        <f t="shared" si="6"/>
        <v>1760</v>
      </c>
      <c r="AC14" s="1165">
        <f t="shared" si="6"/>
        <v>7</v>
      </c>
      <c r="AD14" s="1165">
        <f t="shared" si="6"/>
        <v>0</v>
      </c>
      <c r="AE14" s="1169">
        <f t="shared" si="6"/>
        <v>0</v>
      </c>
      <c r="AF14" s="1162">
        <f t="shared" si="6"/>
        <v>0</v>
      </c>
      <c r="AG14" s="1170">
        <f t="shared" si="6"/>
        <v>0</v>
      </c>
      <c r="AH14" s="1167">
        <f t="shared" si="6"/>
        <v>0</v>
      </c>
      <c r="AI14" s="1162">
        <f t="shared" si="6"/>
        <v>102</v>
      </c>
      <c r="AJ14" s="1164">
        <f t="shared" si="6"/>
        <v>0</v>
      </c>
      <c r="AK14" s="1167">
        <f>SUBTOTAL(9,AK9:AK13)</f>
        <v>0</v>
      </c>
      <c r="AL14" s="1171">
        <f>IF(ISNUMBER(NºAsuntos!G14/NºAsuntos!E14),NºAsuntos!G14/NºAsuntos!E14," - ")</f>
        <v>0.98921832884097038</v>
      </c>
      <c r="AM14" s="1171">
        <f>IF(ISNUMBER(((NºAsuntos!I14/NºAsuntos!G14)*11)/factor_trimestre),((NºAsuntos!I14/NºAsuntos!G14)*11)/factor_trimestre," - ")</f>
        <v>6.5885558583106265</v>
      </c>
      <c r="AN14" s="1172">
        <f>IF(ISNUMBER('Resol  Asuntos'!D14/NºAsuntos!G14),'Resol  Asuntos'!D14/NºAsuntos!G14," - ")</f>
        <v>0.27792915531335149</v>
      </c>
      <c r="AO14" s="1173">
        <f>IF(ISNUMBER((NºAsuntos!C14+NºAsuntos!E14)/NºAsuntos!G14),(NºAsuntos!C14+NºAsuntos!E14)/NºAsuntos!G14," - ")</f>
        <v>3.196185286103542</v>
      </c>
      <c r="AP14" s="1174" t="str">
        <f t="shared" si="2"/>
        <v xml:space="preserve"> - </v>
      </c>
      <c r="AQ14" s="1174">
        <f>IF(ISNUMBER((H14-W14+K14)/(F14)),(H14-W14+K14)/(F14)," - ")</f>
        <v>-0.88888888888888884</v>
      </c>
      <c r="AR14" s="1175">
        <f>IF(ISNUMBER((Datos!P14-Datos!Q14)/(Datos!R14-Datos!P14+Datos!Q14)),(Datos!P14-Datos!Q14)/(Datos!R14-Datos!P14+Datos!Q14)," - ")</f>
        <v>3.4685479129923577E-2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748</v>
      </c>
      <c r="G17" s="373">
        <f>IF(ISNUMBER(IF(D_I="SI",Datos!I17,Datos!I17+Datos!AC17)),IF(D_I="SI",Datos!I17,Datos!I17+Datos!AC17)," - ")</f>
        <v>631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678</v>
      </c>
      <c r="X17" s="240">
        <f>IF(ISNUMBER(Datos!Q17),Datos!Q17," - ")</f>
        <v>17</v>
      </c>
      <c r="Y17" s="374">
        <f t="shared" ref="Y17:Y22" si="9">SUM(W17:X17)</f>
        <v>695</v>
      </c>
      <c r="Z17" s="375" t="str">
        <f>IF(ISNUMBER(Datos!CC17),Datos!CC17," - ")</f>
        <v xml:space="preserve"> - </v>
      </c>
      <c r="AA17" s="372">
        <f>IF(ISNUMBER(IF(D_I="SI",Datos!L17,Datos!L17+Datos!AF17)),IF(D_I="SI",Datos!L17,Datos!L17+Datos!AF17)," - ")</f>
        <v>670</v>
      </c>
      <c r="AB17" s="374">
        <f>IF(ISNUMBER(Datos!R17),Datos!R17," - ")</f>
        <v>98</v>
      </c>
      <c r="AC17" s="374">
        <f t="shared" si="8"/>
        <v>768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1.1299999999999999</v>
      </c>
      <c r="AM17" s="284">
        <f>IF(ISNUMBER(((NºAsuntos!I17/NºAsuntos!G17)*11)/factor_trimestre),((NºAsuntos!I17/NºAsuntos!G17)*11)/factor_trimestre," - ")</f>
        <v>2.9646017699115044</v>
      </c>
      <c r="AN17" s="267">
        <f>IF(ISNUMBER('Resol  Asuntos'!D17/NºAsuntos!G17),'Resol  Asuntos'!D17/NºAsuntos!G17," - ")</f>
        <v>0.11356932153392331</v>
      </c>
      <c r="AO17" s="268">
        <f>IF(ISNUMBER((NºAsuntos!C17+NºAsuntos!E17)/NºAsuntos!G17),(NºAsuntos!C17+NºAsuntos!E17)/NºAsuntos!G17," - ")</f>
        <v>1.8156342182890854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31</v>
      </c>
      <c r="AB18" s="374">
        <f>IF(ISNUMBER(Datos!R18),Datos!R18," - ")</f>
        <v>1</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1.0740740740740742</v>
      </c>
      <c r="AM18" s="284">
        <f>IF(ISNUMBER(((NºAsuntos!I18/NºAsuntos!G18)*11)/factor_trimestre),((NºAsuntos!I18/NºAsuntos!G18)*11)/factor_trimestre," - ")</f>
        <v>3.2068965517241375</v>
      </c>
      <c r="AN18" s="267">
        <f>IF(ISNUMBER('Resol  Asuntos'!D18/NºAsuntos!G18),'Resol  Asuntos'!D18/NºAsuntos!G18," - ")</f>
        <v>0.20689655172413793</v>
      </c>
      <c r="AO18" s="268">
        <f>IF(ISNUMBER((NºAsuntos!C18+NºAsuntos!E18)/NºAsuntos!G18),(NºAsuntos!C18+NºAsuntos!E18)/NºAsuntos!G18," - ")</f>
        <v>2.0689655172413794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748</v>
      </c>
      <c r="G23" s="1163">
        <f>SUBTOTAL(9,G16:G22)</f>
        <v>664</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707</v>
      </c>
      <c r="X23" s="1164">
        <f t="shared" si="14"/>
        <v>17</v>
      </c>
      <c r="Y23" s="1165">
        <f t="shared" si="14"/>
        <v>724</v>
      </c>
      <c r="Z23" s="1165">
        <f t="shared" si="14"/>
        <v>0</v>
      </c>
      <c r="AA23" s="1165">
        <f t="shared" si="14"/>
        <v>701</v>
      </c>
      <c r="AB23" s="1165">
        <f t="shared" si="14"/>
        <v>99</v>
      </c>
      <c r="AC23" s="1165">
        <f t="shared" si="14"/>
        <v>800</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1.127591706539075</v>
      </c>
      <c r="AM23" s="1171">
        <f>IF(ISNUMBER(((NºAsuntos!I23/NºAsuntos!G23)*11)/factor_trimestre),((NºAsuntos!I23/NºAsuntos!G23)*11)/factor_trimestre," - ")</f>
        <v>2.9745403111739748</v>
      </c>
      <c r="AN23" s="1172">
        <f>IF(ISNUMBER('Resol  Asuntos'!D23/NºAsuntos!G23),'Resol  Asuntos'!D23/NºAsuntos!G23," - ")</f>
        <v>0.1173974540311174</v>
      </c>
      <c r="AO23" s="1173">
        <f>IF(ISNUMBER((NºAsuntos!C23+NºAsuntos!E23)/NºAsuntos!G23),(NºAsuntos!C23+NºAsuntos!E23)/NºAsuntos!G23," - ")</f>
        <v>1.8260254596888261</v>
      </c>
      <c r="AP23" s="1174" t="str">
        <f t="shared" si="2"/>
        <v xml:space="preserve"> - </v>
      </c>
      <c r="AQ23" s="1174">
        <f>IF(ISNUMBER((H23-W23+K23)/(F23)),(H23-W23+K23)/(F23)," - ")</f>
        <v>-0.94518716577540107</v>
      </c>
      <c r="AR23" s="1175">
        <f>IF(ISNUMBER((Datos!P23-Datos!Q23)/(Datos!R23-Datos!P23+Datos!Q23)),(Datos!P23-Datos!Q23)/(Datos!R23-Datos!P23+Datos!Q23)," - ")</f>
        <v>-3.8834951456310676E-2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757</v>
      </c>
      <c r="G31" s="1118">
        <f t="shared" si="20"/>
        <v>673</v>
      </c>
      <c r="H31" s="1117">
        <f t="shared" si="20"/>
        <v>0</v>
      </c>
      <c r="I31" s="1119">
        <f t="shared" si="20"/>
        <v>0</v>
      </c>
      <c r="J31" s="1119">
        <f t="shared" si="20"/>
        <v>0</v>
      </c>
      <c r="K31" s="1180">
        <f t="shared" si="20"/>
        <v>0</v>
      </c>
      <c r="L31" s="1119">
        <f t="shared" si="20"/>
        <v>122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715</v>
      </c>
      <c r="X31" s="1118">
        <f t="shared" si="21"/>
        <v>67</v>
      </c>
      <c r="Y31" s="1125">
        <f t="shared" si="21"/>
        <v>782</v>
      </c>
      <c r="Z31" s="1125">
        <f t="shared" si="21"/>
        <v>0</v>
      </c>
      <c r="AA31" s="1125">
        <f t="shared" si="21"/>
        <v>707</v>
      </c>
      <c r="AB31" s="1125">
        <f t="shared" si="21"/>
        <v>1859</v>
      </c>
      <c r="AC31" s="1125">
        <f t="shared" si="21"/>
        <v>807</v>
      </c>
      <c r="AD31" s="1125">
        <f t="shared" si="21"/>
        <v>0</v>
      </c>
      <c r="AE31" s="1127">
        <f t="shared" si="21"/>
        <v>0</v>
      </c>
      <c r="AF31" s="1128">
        <f t="shared" si="21"/>
        <v>0</v>
      </c>
      <c r="AG31" s="1129">
        <f t="shared" si="21"/>
        <v>0</v>
      </c>
      <c r="AH31" s="1127">
        <f t="shared" si="21"/>
        <v>0</v>
      </c>
      <c r="AI31" s="1117">
        <f t="shared" si="21"/>
        <v>185</v>
      </c>
      <c r="AJ31" s="1117">
        <f t="shared" si="21"/>
        <v>0</v>
      </c>
      <c r="AK31" s="1127">
        <f t="shared" si="21"/>
        <v>0</v>
      </c>
      <c r="AL31" s="1183">
        <f>IF(ISNUMBER(NºAsuntos!G31/NºAsuntos!E31),NºAsuntos!G31/NºAsuntos!E31," - ")</f>
        <v>1.0761523046092185</v>
      </c>
      <c r="AM31" s="1184">
        <f>IF(ISNUMBER(((NºAsuntos!I31/NºAsuntos!G31)*11)/factor_trimestre),((NºAsuntos!I31/NºAsuntos!G31)*11)/factor_trimestre," - ")</f>
        <v>4.2094972067039116</v>
      </c>
      <c r="AN31" s="1184">
        <f>IF(ISNUMBER('Resol  Asuntos'!D31/NºAsuntos!G31),'Resol  Asuntos'!D31/NºAsuntos!G31," - ")</f>
        <v>0.17225325884543763</v>
      </c>
      <c r="AO31" s="1185">
        <f>IF(ISNUMBER((NºAsuntos!C31+NºAsuntos!E31)/NºAsuntos!G31),(NºAsuntos!C31+NºAsuntos!E31)/NºAsuntos!G31," - ")</f>
        <v>2.2942271880819365</v>
      </c>
      <c r="AP31" s="1186" t="str">
        <f t="shared" si="2"/>
        <v xml:space="preserve"> - </v>
      </c>
      <c r="AQ31" s="1187">
        <f>IF(OR(ISNUMBER(FIND("01",Criterios!A8,1)),ISNUMBER(FIND("02",Criterios!A8,1)),ISNUMBER(FIND("03",Criterios!A8,1)),ISNUMBER(FIND("04",Criterios!A8,1))),(I31-W31+K31)/(F31-K31),(H31-W31+K31)/(F31-K31))</f>
        <v>-0.94451783355350061</v>
      </c>
      <c r="AR31" s="1188">
        <f>IF(ISNUMBER((Datos!P31-Datos!Q31)/(Datos!R31-Datos!P31+Datos!Q31)),(Datos!P31-Datos!Q31)/(Datos!R31-Datos!P31+Datos!Q31)," - ")</f>
        <v>3.048780487804878E-2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383.96284542474501</v>
      </c>
      <c r="G33" s="277">
        <f>IF(ISNUMBER(STDEV(G8:G30)),STDEV(G8:G30),"-")</f>
        <v>311.31212327058211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333.75975106140561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47.742613490016886</v>
      </c>
      <c r="AJ33" s="276">
        <f t="shared" si="25"/>
        <v>0</v>
      </c>
      <c r="AK33" s="278">
        <f t="shared" si="25"/>
        <v>0</v>
      </c>
      <c r="AL33" s="273">
        <f t="shared" si="25"/>
        <v>0.22961733599660072</v>
      </c>
      <c r="AM33" s="274">
        <f t="shared" si="25"/>
        <v>1.9824968649628731</v>
      </c>
      <c r="AN33" s="274">
        <f t="shared" si="25"/>
        <v>0.10213307540691578</v>
      </c>
      <c r="AO33" s="275">
        <f t="shared" si="25"/>
        <v>0.70413434887973714</v>
      </c>
      <c r="AP33" s="317" t="str">
        <f t="shared" si="25"/>
        <v>-</v>
      </c>
      <c r="AQ33" s="318">
        <f t="shared" si="25"/>
        <v>3.9808893355570675E-2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pTxckRpPPZ6ZNY+OAVFwU7ShH8/XEc80q32JQcYG0edyudMCO/X8lg+sMD0ulZt3AgLJ9kauGCNr68lLivxuA==" saltValue="mj9viaMAaeb4WECBHlG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ZAFRA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1.5</v>
      </c>
      <c r="F10" s="393">
        <f>IF(ISNUMBER((Datos!K10-Datos!U10)/Datos!U10),(Datos!K10-Datos!U10)/Datos!U10," - ")</f>
        <v>7</v>
      </c>
      <c r="G10" s="394">
        <f>IF(ISNUMBER((Datos!L10-Datos!V10)/Datos!V10),(Datos!L10-Datos!V10)/Datos!V10," - ")</f>
        <v>-0.45454545454545453</v>
      </c>
      <c r="H10" s="244" t="str">
        <f>IF(ISNUMBER((Datos!M10-Datos!W10)/Datos!W10),(Datos!M10-Datos!W10)/Datos!W10," - ")</f>
        <v xml:space="preserve"> - </v>
      </c>
      <c r="I10" s="395">
        <f>IF(ISNUMBER((Tasas!C10-Datos!BE10)/Datos!BE10),(Tasas!C10-Datos!BE10)/Datos!BE10," - ")</f>
        <v>-0.93181818181818177</v>
      </c>
      <c r="J10" s="394" t="str">
        <f>IF(ISNUMBER((Tasas!D10-Datos!BF10)/Datos!BF10),(Tasas!D10-Datos!BF10)/Datos!BF10," - ")</f>
        <v xml:space="preserve"> - </v>
      </c>
      <c r="K10" s="396">
        <f>IF(ISNUMBER((Tasas!E10-Datos!BG10)/Datos!BG10),(Tasas!E10-Datos!BG10)/Datos!BG10," - ")</f>
        <v>-0.85416666666666663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1.020408163265306E-2</v>
      </c>
      <c r="I12" s="395">
        <f>IF(ISNUMBER((Tasas!C12-Datos!BE12)/Datos!BE12),(Tasas!C12-Datos!BE12)/Datos!BE12," - ")</f>
        <v>-6.3546600479065282E-2</v>
      </c>
      <c r="J12" s="394">
        <f>IF(ISNUMBER((Tasas!D12-Datos!BF12)/Datos!BF12),(Tasas!D12-Datos!BF12)/Datos!BF12," - ")</f>
        <v>-0.31533954471232351</v>
      </c>
      <c r="K12" s="396">
        <f>IF(ISNUMBER((Tasas!E12-Datos!BG12)/Datos!BG12),(Tasas!E12-Datos!BG12)/Datos!BG12," - ")</f>
        <v>-4.8653414251349995E-2</v>
      </c>
      <c r="M12" t="e">
        <f>IF(Monitorios="SI",Datos!CE12,0)</f>
        <v>#REF!</v>
      </c>
      <c r="N12" t="e">
        <f>IF(Monitorios="SI",Datos!CF12,0)</f>
        <v>#REF!</v>
      </c>
      <c r="O12" t="e">
        <f>IF(Monitorios="SI",Datos!CG12,0)</f>
        <v>#REF!</v>
      </c>
      <c r="P12" t="e">
        <f>IF(Monitorios="SI",Datos!CH12,0)</f>
        <v>#REF!</v>
      </c>
      <c r="Q12">
        <f>IF(J_V="SI",0,Datos!AG12)</f>
        <v>32</v>
      </c>
      <c r="R12">
        <f>IF(J_V="SI",0,Datos!AH12)</f>
        <v>36</v>
      </c>
      <c r="S12">
        <f>IF(J_V="SI",0,Datos!AI12)</f>
        <v>26</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4.0816326530612242E-2</v>
      </c>
      <c r="I14" s="402">
        <f>IF(ISNUMBER((Tasas!C14-Datos!BE14)/Datos!BE14),(Tasas!C14-Datos!BE14)/Datos!BE14," - ")</f>
        <v>-8.47466517008338E-2</v>
      </c>
      <c r="J14" s="400">
        <f>IF(ISNUMBER((Tasas!D14-Datos!BF14)/Datos!BF14),(Tasas!D14-Datos!BF14)/Datos!BF14," - ")</f>
        <v>-0.30837169970872874</v>
      </c>
      <c r="K14" s="403">
        <f>IF(ISNUMBER((Tasas!E14-Datos!BG14)/Datos!BG14),(Tasas!E14-Datos!BG14)/Datos!BG14," - ")</f>
        <v>-6.3634486547473834E-2</v>
      </c>
      <c r="M14" t="e">
        <f>IF(Monitorios="SI",Datos!CE14,0)</f>
        <v>#REF!</v>
      </c>
      <c r="N14" t="e">
        <f>IF(Monitorios="SI",Datos!CF14,0)</f>
        <v>#REF!</v>
      </c>
      <c r="O14" t="e">
        <f>IF(Monitorios="SI",Datos!CG14,0)</f>
        <v>#REF!</v>
      </c>
      <c r="P14" t="e">
        <f>IF(Monitorios="SI",Datos!CH14,0)</f>
        <v>#REF!</v>
      </c>
      <c r="Q14">
        <f>IF(J_V="SI",0,Datos!AG14)</f>
        <v>32</v>
      </c>
      <c r="R14">
        <f>IF(J_V="SI",0,Datos!AH14)</f>
        <v>36</v>
      </c>
      <c r="S14">
        <f>IF(J_V="SI",0,Datos!AI14)</f>
        <v>26</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-0.32872340425531915</v>
      </c>
      <c r="E17" s="393">
        <f>IF(ISNUMBER(
   IF(D_I="SI",(Datos!J17-Datos!T17)/Datos!T17,(Datos!J17+Datos!AD17-(Datos!T17+Datos!AL17))/(Datos!T17+Datos!AL17))
     ),IF(D_I="SI",(Datos!J17-Datos!T17)/Datos!T17,(Datos!J17+Datos!AD17-(Datos!T17+Datos!AL17))/(Datos!T17+Datos!AL17))," - ")</f>
        <v>0.32450331125827814</v>
      </c>
      <c r="F17" s="393">
        <f>IF(ISNUMBER(
   IF(D_I="SI",(Datos!K17-Datos!U17)/Datos!U17,(Datos!K17+Datos!AE17-(Datos!U17+Datos!AM17))/(Datos!U17+Datos!AM17))
     ),IF(D_I="SI",(Datos!K17-Datos!U17)/Datos!U17,(Datos!K17+Datos!AE17-(Datos!U17+Datos!AM17))/(Datos!U17+Datos!AM17))," - ")</f>
        <v>0.37246963562753038</v>
      </c>
      <c r="G17" s="394">
        <f>IF(ISNUMBER(
   IF(D_I="SI",(Datos!L17-Datos!V17)/Datos!V17,(Datos!L17+Datos!AF17-(Datos!V17+Datos!AN17))/(Datos!V17+Datos!AN17))
     ),IF(D_I="SI",(Datos!L17-Datos!V17)/Datos!V17,(Datos!L17+Datos!AF17-(Datos!V17+Datos!AN17))/(Datos!V17+Datos!AN17))," - ")</f>
        <v>-0.25472747497219134</v>
      </c>
      <c r="H17" s="244">
        <f>IF(ISNUMBER((Datos!M17-Datos!W17)/Datos!W17),(Datos!M17-Datos!W17)/Datos!W17," - ")</f>
        <v>0.48076923076923078</v>
      </c>
      <c r="I17" s="395">
        <f>IF(ISNUMBER((Tasas!C17-Datos!BE17)/Datos!BE17),(Tasas!C17-Datos!BE17)/Datos!BE17," - ")</f>
        <v>-0.45698432542221612</v>
      </c>
      <c r="J17" s="394">
        <f>IF(ISNUMBER((Tasas!D17-Datos!BF17)/Datos!BF17),(Tasas!D17-Datos!BF17)/Datos!BF17," - ")</f>
        <v>7.89085545722715E-2</v>
      </c>
      <c r="K17" s="396">
        <f>IF(ISNUMBER((Tasas!E17-Datos!BG17)/Datos!BG17),(Tasas!E17-Datos!BG17)/Datos!BG17," - ")</f>
        <v>-0.35612110277472486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-8.3333333333333329E-2</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0.70588235294117652</v>
      </c>
      <c r="G18" s="394">
        <f>IF(ISNUMBER(
   IF(D_I="SI",(Datos!L18-Datos!V18)/Datos!V18,(Datos!L18+Datos!AF18-(Datos!V18+Datos!AN18))/(Datos!V18+Datos!AN18))
     ),IF(D_I="SI",(Datos!L18-Datos!V18)/Datos!V18,(Datos!L18+Datos!AF18-(Datos!V18+Datos!AN18))/(Datos!V18+Datos!AN18))," - ")</f>
        <v>-8.8235294117647065E-2</v>
      </c>
      <c r="H18" s="244">
        <f>IF(ISNUMBER((Datos!M18-Datos!W18)/Datos!W18),(Datos!M18-Datos!W18)/Datos!W18," - ")</f>
        <v>2</v>
      </c>
      <c r="I18" s="395">
        <f>IF(ISNUMBER((Tasas!C18-Datos!BE18)/Datos!BE18),(Tasas!C18-Datos!BE18)/Datos!BE18," - ")</f>
        <v>-0.46551724137931039</v>
      </c>
      <c r="J18" s="394">
        <f>IF(ISNUMBER((Tasas!D18-Datos!BF18)/Datos!BF18),(Tasas!D18-Datos!BF18)/Datos!BF18," - ")</f>
        <v>0.75862068965517238</v>
      </c>
      <c r="K18" s="396">
        <f>IF(ISNUMBER((Tasas!E18-Datos!BG18)/Datos!BG18),(Tasas!E18-Datos!BG18)/Datos!BG18," - ")</f>
        <v>-0.31034482758620685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-0.31967213114754101</v>
      </c>
      <c r="E23" s="399">
        <f>IF(ISNUMBER(
   IF(D_I="SI",(Datos!J23-Datos!T23)/Datos!T23,(Datos!J23+Datos!AD23-(Datos!T23+Datos!AL23))/(Datos!T23+Datos!AL23))
     ),IF(D_I="SI",(Datos!J23-Datos!T23)/Datos!T23,(Datos!J23+Datos!AD23-(Datos!T23+Datos!AL23))/(Datos!T23+Datos!AL23))," - ")</f>
        <v>0.33974358974358976</v>
      </c>
      <c r="F23" s="399">
        <f>IF(ISNUMBER(
   IF(D_I="SI",(Datos!K23-Datos!U23)/Datos!U23,(Datos!K23+Datos!AE23-(Datos!U23+Datos!AM23))/(Datos!U23+Datos!AM23))
     ),IF(D_I="SI",(Datos!K23-Datos!U23)/Datos!U23,(Datos!K23+Datos!AE23-(Datos!U23+Datos!AM23))/(Datos!U23+Datos!AM23))," - ")</f>
        <v>0.38356164383561642</v>
      </c>
      <c r="G23" s="400">
        <f>IF(ISNUMBER(
   IF(D_I="SI",(Datos!L23-Datos!V23)/Datos!V23,(Datos!L23+Datos!AF23-(Datos!V23+Datos!AN23))/(Datos!V23+Datos!AN23))
     ),IF(D_I="SI",(Datos!L23-Datos!V23)/Datos!V23,(Datos!L23+Datos!AF23-(Datos!V23+Datos!AN23))/(Datos!V23+Datos!AN23))," - ")</f>
        <v>-0.24866023579849947</v>
      </c>
      <c r="H23" s="401">
        <f>IF(ISNUMBER((Datos!M23-Datos!W23)/Datos!W23),(Datos!M23-Datos!W23)/Datos!W23," - ")</f>
        <v>0.53703703703703709</v>
      </c>
      <c r="I23" s="402">
        <f>IF(ISNUMBER((Tasas!C23-Datos!BE23)/Datos!BE23),(Tasas!C23-Datos!BE23)/Datos!BE23," - ")</f>
        <v>-0.45695244765634119</v>
      </c>
      <c r="J23" s="400">
        <f>IF(ISNUMBER((Tasas!D23-Datos!BF23)/Datos!BF23),(Tasas!D23-Datos!BF23)/Datos!BF23," - ")</f>
        <v>0.110927759442611</v>
      </c>
      <c r="K23" s="403">
        <f>IF(ISNUMBER((Tasas!E23-Datos!BG23)/Datos!BG23),(Tasas!E23-Datos!BG23)/Datos!BG23," - ")</f>
        <v>-0.35380954993006225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-0.29451395572666023</v>
      </c>
      <c r="E31" s="409">
        <f>IF(ISNUMBER(
   IF(J_V="SI",(Datos!J31-Datos!T31)/Datos!T31,(Datos!J31+Datos!Z31-(Datos!T31+Datos!AH31))/(Datos!T31+Datos!AH31))
     ),IF(J_V="SI",(Datos!J31-Datos!T31)/Datos!T31,(Datos!J31+Datos!Z31-(Datos!T31+Datos!AH31))/(Datos!T31+Datos!AH31))," - ")</f>
        <v>0.18246445497630331</v>
      </c>
      <c r="F31" s="409">
        <f>IF(ISNUMBER(
   IF(J_V="SI",(Datos!K31-Datos!U31)/Datos!U31,(Datos!K31+Datos!AA31-(Datos!U31+Datos!AI31))/(Datos!U31+Datos!AI31))
     ),IF(J_V="SI",(Datos!K31-Datos!U31)/Datos!U31,(Datos!K31+Datos!AA31-(Datos!U31+Datos!AI31))/(Datos!U31+Datos!AI31))," - ")</f>
        <v>0.13771186440677965</v>
      </c>
      <c r="G31" s="410">
        <f>IF(ISNUMBER(
   IF(J_V="SI",(Datos!L31-Datos!V31)/Datos!V31,(Datos!L31+Datos!AB31-(Datos!V31+Datos!AJ31))/(Datos!V31+Datos!AJ31))
     ),IF(J_V="SI",(Datos!L31-Datos!V31)/Datos!V31,(Datos!L31+Datos!AB31-(Datos!V31+Datos!AJ31))/(Datos!V31+Datos!AJ31))," - ")</f>
        <v>-0.23580121703853954</v>
      </c>
      <c r="H31" s="411">
        <f>IF(ISNUMBER((Datos!M31-Datos!W31)/Datos!W31),(Datos!M31-Datos!W31)/Datos!W31," - ")</f>
        <v>0.21710526315789475</v>
      </c>
      <c r="I31" s="408">
        <f>IF(ISNUMBER((Tasas!C31-Datos!BE31)/Datos!BE31),(Tasas!C31-Datos!BE31)/Datos!BE31," - ")</f>
        <v>-0.32830200082344624</v>
      </c>
      <c r="J31" s="409">
        <f>IF(ISNUMBER((Tasas!D31-Datos!BF31)/Datos!BF31),(Tasas!D31-Datos!BF31)/Datos!BF31," - ")</f>
        <v>-0.28681106863994243</v>
      </c>
      <c r="K31" s="410">
        <f>IF(ISNUMBER((Tasas!E31-Datos!BG31)/Datos!BG31),(Tasas!E31-Datos!BG31)/Datos!BG31," - ")</f>
        <v>-0.25881229789550031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0.134474984798616</v>
      </c>
      <c r="E33" s="303">
        <f t="shared" si="1"/>
        <v>0.55197771188839762</v>
      </c>
      <c r="F33" s="303">
        <f t="shared" si="1"/>
        <v>3.2600167422736046</v>
      </c>
      <c r="G33" s="304">
        <f t="shared" si="1"/>
        <v>0.14999769483841707</v>
      </c>
      <c r="H33" s="310">
        <f t="shared" si="1"/>
        <v>0.81206195803782932</v>
      </c>
      <c r="I33" s="302">
        <f t="shared" si="1"/>
        <v>0.31799625950304117</v>
      </c>
      <c r="J33" s="303">
        <f t="shared" si="1"/>
        <v>0.43802883768740497</v>
      </c>
      <c r="K33" s="304">
        <f t="shared" si="1"/>
        <v>0.29205655824533361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RIsZU4enhtatVB971h5my+EPXCw1sKwXvUXs/8VddhhEWymGbPDCVoKSaGARvz4BMqvtIsmDfPGDMckIKtX3A==" saltValue="cU1L05+K9R1xNyjZqcZX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